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4830" windowHeight="7110" activeTab="2"/>
  </bookViews>
  <sheets>
    <sheet name="info services" sheetId="1" r:id="rId1"/>
    <sheet name="FIC_st" sheetId="2" r:id="rId2"/>
    <sheet name="couts" sheetId="3" r:id="rId3"/>
  </sheets>
  <definedNames/>
  <calcPr fullCalcOnLoad="1"/>
</workbook>
</file>

<file path=xl/sharedStrings.xml><?xml version="1.0" encoding="utf-8"?>
<sst xmlns="http://schemas.openxmlformats.org/spreadsheetml/2006/main" count="174" uniqueCount="104">
  <si>
    <t xml:space="preserve">Nature des CHARGES INDIRECTES </t>
  </si>
  <si>
    <t>Montant total</t>
  </si>
  <si>
    <t>Adm.</t>
  </si>
  <si>
    <t>Entretien</t>
  </si>
  <si>
    <t>E</t>
  </si>
  <si>
    <t>TOTAL</t>
  </si>
  <si>
    <t>Distribution</t>
  </si>
  <si>
    <t>Frais de personnel</t>
  </si>
  <si>
    <t>Achats et services extérieurs</t>
  </si>
  <si>
    <t>Autres services extérieurs</t>
  </si>
  <si>
    <t>DAP</t>
  </si>
  <si>
    <t>total répartition primaire</t>
  </si>
  <si>
    <t>- Adm.</t>
  </si>
  <si>
    <t>- Entretien</t>
  </si>
  <si>
    <t>total répartition secondaire</t>
  </si>
  <si>
    <t>coût d'UO</t>
  </si>
  <si>
    <t>Q</t>
  </si>
  <si>
    <t>= coût de production des prod. Vendus</t>
  </si>
  <si>
    <t>S</t>
  </si>
  <si>
    <t>SF</t>
  </si>
  <si>
    <t xml:space="preserve">JC SCILIEN </t>
  </si>
  <si>
    <t xml:space="preserve">jscilien@u-paris10.fr </t>
  </si>
  <si>
    <t>nature d'UO</t>
  </si>
  <si>
    <t>charges directes</t>
  </si>
  <si>
    <t>total</t>
  </si>
  <si>
    <t>nbre d'UO C1</t>
  </si>
  <si>
    <t>nbre d'UO C2</t>
  </si>
  <si>
    <t>MATIERES</t>
  </si>
  <si>
    <t>MOD</t>
  </si>
  <si>
    <t>enonce</t>
  </si>
  <si>
    <t xml:space="preserve">TOTAL </t>
  </si>
  <si>
    <t>C3</t>
  </si>
  <si>
    <t>C4</t>
  </si>
  <si>
    <t>Atelier 1</t>
  </si>
  <si>
    <t xml:space="preserve">Atelier 2 </t>
  </si>
  <si>
    <t xml:space="preserve">Transports </t>
  </si>
  <si>
    <t>A</t>
  </si>
  <si>
    <t>50% A</t>
  </si>
  <si>
    <t>40 % E</t>
  </si>
  <si>
    <t xml:space="preserve">A = </t>
  </si>
  <si>
    <t xml:space="preserve">40 % E </t>
  </si>
  <si>
    <t xml:space="preserve">E = </t>
  </si>
  <si>
    <t xml:space="preserve">50 % A </t>
  </si>
  <si>
    <t xml:space="preserve">E= </t>
  </si>
  <si>
    <t>nb heures mach</t>
  </si>
  <si>
    <t>nb kg</t>
  </si>
  <si>
    <t xml:space="preserve">100e de CA </t>
  </si>
  <si>
    <t xml:space="preserve">PU </t>
  </si>
  <si>
    <t xml:space="preserve">T </t>
  </si>
  <si>
    <t xml:space="preserve">SI </t>
  </si>
  <si>
    <t xml:space="preserve">ST PF </t>
  </si>
  <si>
    <t>ENONCE</t>
  </si>
  <si>
    <t>page 3</t>
  </si>
  <si>
    <t xml:space="preserve">COUT ACHAT </t>
  </si>
  <si>
    <t xml:space="preserve">PRIX ACHAT </t>
  </si>
  <si>
    <t xml:space="preserve">CI ACHAT </t>
  </si>
  <si>
    <t xml:space="preserve">COUT DE PROD </t>
  </si>
  <si>
    <t xml:space="preserve">MOD </t>
  </si>
  <si>
    <t>ATELIER 1</t>
  </si>
  <si>
    <t>ATELIER 2</t>
  </si>
  <si>
    <t xml:space="preserve">nb cartes fabr </t>
  </si>
  <si>
    <t xml:space="preserve">CORRIGE </t>
  </si>
  <si>
    <t>HYP STOCKS NULS</t>
  </si>
  <si>
    <t>PAS D'INFO SUR LE SUJET</t>
  </si>
  <si>
    <t>COUT ACHAT</t>
  </si>
  <si>
    <t xml:space="preserve">gonflement du poids </t>
  </si>
  <si>
    <t xml:space="preserve">de la mat première </t>
  </si>
  <si>
    <t>une fois chauffée</t>
  </si>
  <si>
    <t>(donnée de l'énoncé sans incidence sur les couts)</t>
  </si>
  <si>
    <t>= CPPF</t>
  </si>
  <si>
    <t xml:space="preserve">REPARTIES </t>
  </si>
  <si>
    <t xml:space="preserve">AU PRORATA DES </t>
  </si>
  <si>
    <t>(car pas d'autres choix)</t>
  </si>
  <si>
    <t>HMACH = UO ATEL 2</t>
  </si>
  <si>
    <t>ENCOURS INITIAL ATEL 2</t>
  </si>
  <si>
    <t>- ENCOURS FINAL ATEL 2</t>
  </si>
  <si>
    <t>apres AT2</t>
  </si>
  <si>
    <t xml:space="preserve">apres AT2 </t>
  </si>
  <si>
    <t xml:space="preserve">verif </t>
  </si>
  <si>
    <t xml:space="preserve">DOUBLE SS en volumes </t>
  </si>
  <si>
    <t>et derive de 5 % enonce</t>
  </si>
  <si>
    <t>CF attrition indus</t>
  </si>
  <si>
    <t>le 1436 kg se transforme en 2100 kg une fois apres traitements des deux ateliers</t>
  </si>
  <si>
    <t>ST MP brut</t>
  </si>
  <si>
    <t>CONSO MAT (sorties)</t>
  </si>
  <si>
    <t>CI DISTRIB</t>
  </si>
  <si>
    <t>NC</t>
  </si>
  <si>
    <t xml:space="preserve">NC </t>
  </si>
  <si>
    <t xml:space="preserve">COUT DE REVIENT </t>
  </si>
  <si>
    <t>CA</t>
  </si>
  <si>
    <t>RAPPEL</t>
  </si>
  <si>
    <t xml:space="preserve">RESULTAT </t>
  </si>
  <si>
    <t xml:space="preserve">PERTE </t>
  </si>
  <si>
    <t>PROFITABILITE negative</t>
  </si>
  <si>
    <t xml:space="preserve">voir onglets </t>
  </si>
  <si>
    <t xml:space="preserve">fic de stocks </t>
  </si>
  <si>
    <t xml:space="preserve">cout </t>
  </si>
  <si>
    <t xml:space="preserve">pour la suite du cas </t>
  </si>
  <si>
    <t xml:space="preserve">COUT DE REVIENT ET REST </t>
  </si>
  <si>
    <t xml:space="preserve">la société affiche un résultat très déficitaire </t>
  </si>
  <si>
    <t xml:space="preserve">les couts commerciaux représentent à eux seuls 70 % des ventes </t>
  </si>
  <si>
    <t>il faut regarder la réalité et le contenu des frais commerciaux, et donc fortement les réduire, pour assurer la pérennité de l'ese</t>
  </si>
  <si>
    <t>aucun produit industriel ne peut afficher une structure de couts commerciaux aussi élevée</t>
  </si>
  <si>
    <t>(exceptés de l'immatériel, logiciel par ex, si les clients se situaient dans le monde entier, et encore)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</si>
</sst>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&quot;€&quot;_-;\-* #,##0.0000\ &quot;€&quot;_-;_-* &quot;-&quot;????\ &quot;€&quot;_-;_-@_-"/>
    <numFmt numFmtId="165" formatCode="_-* #,##0.0000\ _€_-;\-* #,##0.0000\ _€_-;_-* &quot;-&quot;????\ _€_-;_-@_-"/>
    <numFmt numFmtId="166" formatCode="_-* #,##0.0\ &quot;€&quot;_-;\-* #,##0.0\ &quot;€&quot;_-;_-* &quot;-&quot;?\ &quot;€&quot;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\ _€_-;\-* #,##0.0\ _€_-;_-* &quot;-&quot;?\ _€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42" fontId="0" fillId="0" borderId="18" xfId="0" applyNumberFormat="1" applyBorder="1" applyAlignment="1">
      <alignment/>
    </xf>
    <xf numFmtId="42" fontId="0" fillId="0" borderId="19" xfId="0" applyNumberFormat="1" applyBorder="1" applyAlignment="1">
      <alignment/>
    </xf>
    <xf numFmtId="0" fontId="3" fillId="0" borderId="0" xfId="46" applyAlignment="1" applyProtection="1">
      <alignment/>
      <protection/>
    </xf>
    <xf numFmtId="0" fontId="0" fillId="33" borderId="17" xfId="0" applyFill="1" applyBorder="1" applyAlignment="1">
      <alignment/>
    </xf>
    <xf numFmtId="42" fontId="0" fillId="33" borderId="18" xfId="0" applyNumberFormat="1" applyFill="1" applyBorder="1" applyAlignment="1">
      <alignment/>
    </xf>
    <xf numFmtId="0" fontId="0" fillId="0" borderId="20" xfId="0" applyFill="1" applyBorder="1" applyAlignment="1">
      <alignment/>
    </xf>
    <xf numFmtId="42" fontId="0" fillId="0" borderId="16" xfId="0" applyNumberFormat="1" applyFill="1" applyBorder="1" applyAlignment="1">
      <alignment/>
    </xf>
    <xf numFmtId="42" fontId="0" fillId="0" borderId="15" xfId="0" applyNumberFormat="1" applyFill="1" applyBorder="1" applyAlignment="1">
      <alignment/>
    </xf>
    <xf numFmtId="42" fontId="0" fillId="34" borderId="10" xfId="0" applyNumberFormat="1" applyFill="1" applyBorder="1" applyAlignment="1">
      <alignment/>
    </xf>
    <xf numFmtId="42" fontId="0" fillId="34" borderId="21" xfId="0" applyNumberFormat="1" applyFill="1" applyBorder="1" applyAlignment="1">
      <alignment/>
    </xf>
    <xf numFmtId="42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2" fontId="0" fillId="34" borderId="23" xfId="0" applyNumberFormat="1" applyFill="1" applyBorder="1" applyAlignment="1">
      <alignment/>
    </xf>
    <xf numFmtId="42" fontId="0" fillId="34" borderId="24" xfId="0" applyNumberFormat="1" applyFill="1" applyBorder="1" applyAlignment="1">
      <alignment/>
    </xf>
    <xf numFmtId="0" fontId="0" fillId="0" borderId="25" xfId="0" applyBorder="1" applyAlignment="1">
      <alignment/>
    </xf>
    <xf numFmtId="42" fontId="0" fillId="0" borderId="23" xfId="0" applyNumberFormat="1" applyFont="1" applyBorder="1" applyAlignment="1">
      <alignment/>
    </xf>
    <xf numFmtId="42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2" fontId="0" fillId="34" borderId="11" xfId="0" applyNumberFormat="1" applyFill="1" applyBorder="1" applyAlignment="1">
      <alignment/>
    </xf>
    <xf numFmtId="42" fontId="0" fillId="34" borderId="28" xfId="0" applyNumberFormat="1" applyFill="1" applyBorder="1" applyAlignment="1">
      <alignment/>
    </xf>
    <xf numFmtId="42" fontId="0" fillId="0" borderId="27" xfId="0" applyNumberFormat="1" applyBorder="1" applyAlignment="1">
      <alignment/>
    </xf>
    <xf numFmtId="42" fontId="0" fillId="0" borderId="29" xfId="0" applyNumberFormat="1" applyBorder="1" applyAlignment="1">
      <alignment/>
    </xf>
    <xf numFmtId="0" fontId="5" fillId="0" borderId="17" xfId="0" applyFont="1" applyBorder="1" applyAlignment="1">
      <alignment/>
    </xf>
    <xf numFmtId="42" fontId="5" fillId="34" borderId="18" xfId="0" applyNumberFormat="1" applyFont="1" applyFill="1" applyBorder="1" applyAlignment="1">
      <alignment/>
    </xf>
    <xf numFmtId="42" fontId="5" fillId="34" borderId="3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/>
    </xf>
    <xf numFmtId="42" fontId="0" fillId="34" borderId="12" xfId="0" applyNumberFormat="1" applyFill="1" applyBorder="1" applyAlignment="1">
      <alignment/>
    </xf>
    <xf numFmtId="42" fontId="0" fillId="34" borderId="33" xfId="0" applyNumberFormat="1" applyFill="1" applyBorder="1" applyAlignment="1">
      <alignment/>
    </xf>
    <xf numFmtId="42" fontId="0" fillId="0" borderId="32" xfId="0" applyNumberFormat="1" applyFont="1" applyBorder="1" applyAlignment="1">
      <alignment/>
    </xf>
    <xf numFmtId="42" fontId="0" fillId="0" borderId="12" xfId="0" applyNumberFormat="1" applyFont="1" applyBorder="1" applyAlignment="1">
      <alignment/>
    </xf>
    <xf numFmtId="42" fontId="0" fillId="0" borderId="34" xfId="0" applyNumberFormat="1" applyFont="1" applyBorder="1" applyAlignment="1">
      <alignment/>
    </xf>
    <xf numFmtId="41" fontId="0" fillId="0" borderId="32" xfId="0" applyNumberFormat="1" applyBorder="1" applyAlignment="1">
      <alignment/>
    </xf>
    <xf numFmtId="42" fontId="0" fillId="0" borderId="34" xfId="0" applyNumberFormat="1" applyBorder="1" applyAlignment="1">
      <alignment/>
    </xf>
    <xf numFmtId="42" fontId="0" fillId="0" borderId="35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3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46" applyBorder="1" applyAlignment="1" applyProtection="1">
      <alignment/>
      <protection/>
    </xf>
    <xf numFmtId="42" fontId="0" fillId="0" borderId="10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37" xfId="0" applyNumberFormat="1" applyFont="1" applyBorder="1" applyAlignment="1">
      <alignment/>
    </xf>
    <xf numFmtId="42" fontId="0" fillId="0" borderId="38" xfId="0" applyNumberFormat="1" applyFont="1" applyBorder="1" applyAlignment="1">
      <alignment/>
    </xf>
    <xf numFmtId="42" fontId="0" fillId="0" borderId="3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42" fontId="0" fillId="0" borderId="4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2" fontId="0" fillId="0" borderId="4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42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right"/>
    </xf>
    <xf numFmtId="42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2" fontId="1" fillId="0" borderId="21" xfId="0" applyNumberFormat="1" applyFont="1" applyBorder="1" applyAlignment="1">
      <alignment/>
    </xf>
    <xf numFmtId="42" fontId="0" fillId="0" borderId="21" xfId="0" applyNumberFormat="1" applyBorder="1" applyAlignment="1">
      <alignment/>
    </xf>
    <xf numFmtId="42" fontId="0" fillId="0" borderId="48" xfId="0" applyNumberFormat="1" applyBorder="1" applyAlignment="1">
      <alignment horizontal="center"/>
    </xf>
    <xf numFmtId="42" fontId="0" fillId="0" borderId="28" xfId="0" applyNumberFormat="1" applyBorder="1" applyAlignment="1">
      <alignment/>
    </xf>
    <xf numFmtId="42" fontId="1" fillId="0" borderId="49" xfId="0" applyNumberFormat="1" applyFont="1" applyBorder="1" applyAlignment="1">
      <alignment/>
    </xf>
    <xf numFmtId="42" fontId="0" fillId="0" borderId="15" xfId="0" applyNumberFormat="1" applyBorder="1" applyAlignment="1">
      <alignment/>
    </xf>
    <xf numFmtId="42" fontId="1" fillId="0" borderId="14" xfId="0" applyNumberFormat="1" applyFont="1" applyBorder="1" applyAlignment="1">
      <alignment/>
    </xf>
    <xf numFmtId="42" fontId="0" fillId="0" borderId="16" xfId="0" applyNumberFormat="1" applyBorder="1" applyAlignment="1">
      <alignment/>
    </xf>
    <xf numFmtId="0" fontId="0" fillId="0" borderId="21" xfId="0" applyBorder="1" applyAlignment="1">
      <alignment horizontal="center"/>
    </xf>
    <xf numFmtId="42" fontId="0" fillId="0" borderId="21" xfId="0" applyNumberFormat="1" applyBorder="1" applyAlignment="1">
      <alignment horizontal="center"/>
    </xf>
    <xf numFmtId="42" fontId="0" fillId="0" borderId="28" xfId="0" applyNumberFormat="1" applyBorder="1" applyAlignment="1">
      <alignment horizontal="center"/>
    </xf>
    <xf numFmtId="42" fontId="0" fillId="0" borderId="30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50" xfId="0" applyNumberFormat="1" applyBorder="1" applyAlignment="1">
      <alignment horizontal="center"/>
    </xf>
    <xf numFmtId="42" fontId="1" fillId="0" borderId="51" xfId="0" applyNumberFormat="1" applyFont="1" applyBorder="1" applyAlignment="1">
      <alignment/>
    </xf>
    <xf numFmtId="42" fontId="0" fillId="33" borderId="3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42" fontId="0" fillId="0" borderId="25" xfId="0" applyNumberFormat="1" applyBorder="1" applyAlignment="1">
      <alignment/>
    </xf>
    <xf numFmtId="42" fontId="0" fillId="0" borderId="52" xfId="0" applyNumberFormat="1" applyBorder="1" applyAlignment="1">
      <alignment/>
    </xf>
    <xf numFmtId="42" fontId="0" fillId="0" borderId="17" xfId="0" applyNumberFormat="1" applyBorder="1" applyAlignment="1">
      <alignment/>
    </xf>
    <xf numFmtId="42" fontId="0" fillId="0" borderId="32" xfId="0" applyNumberFormat="1" applyBorder="1" applyAlignment="1">
      <alignment/>
    </xf>
    <xf numFmtId="42" fontId="0" fillId="0" borderId="53" xfId="0" applyNumberFormat="1" applyBorder="1" applyAlignment="1">
      <alignment/>
    </xf>
    <xf numFmtId="42" fontId="0" fillId="0" borderId="54" xfId="0" applyNumberFormat="1" applyBorder="1" applyAlignment="1">
      <alignment/>
    </xf>
    <xf numFmtId="42" fontId="0" fillId="0" borderId="53" xfId="0" applyNumberFormat="1" applyFill="1" applyBorder="1" applyAlignment="1">
      <alignment/>
    </xf>
    <xf numFmtId="42" fontId="0" fillId="0" borderId="54" xfId="0" applyNumberFormat="1" applyFill="1" applyBorder="1" applyAlignment="1">
      <alignment/>
    </xf>
    <xf numFmtId="44" fontId="0" fillId="0" borderId="25" xfId="0" applyNumberFormat="1" applyBorder="1" applyAlignment="1">
      <alignment/>
    </xf>
    <xf numFmtId="44" fontId="0" fillId="0" borderId="52" xfId="0" applyNumberFormat="1" applyBorder="1" applyAlignment="1">
      <alignment/>
    </xf>
    <xf numFmtId="44" fontId="0" fillId="33" borderId="17" xfId="0" applyNumberFormat="1" applyFill="1" applyBorder="1" applyAlignment="1">
      <alignment/>
    </xf>
    <xf numFmtId="44" fontId="0" fillId="33" borderId="19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55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3" fontId="0" fillId="0" borderId="38" xfId="0" applyNumberFormat="1" applyFont="1" applyBorder="1" applyAlignment="1">
      <alignment/>
    </xf>
    <xf numFmtId="13" fontId="0" fillId="0" borderId="56" xfId="0" applyNumberFormat="1" applyFont="1" applyBorder="1" applyAlignment="1">
      <alignment/>
    </xf>
    <xf numFmtId="13" fontId="0" fillId="0" borderId="32" xfId="0" applyNumberFormat="1" applyBorder="1" applyAlignment="1">
      <alignment/>
    </xf>
    <xf numFmtId="44" fontId="0" fillId="33" borderId="18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5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right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4" fontId="0" fillId="33" borderId="42" xfId="0" applyNumberFormat="1" applyFill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43" xfId="0" applyNumberFormat="1" applyFont="1" applyBorder="1" applyAlignment="1">
      <alignment horizontal="center"/>
    </xf>
    <xf numFmtId="43" fontId="0" fillId="0" borderId="45" xfId="0" applyNumberFormat="1" applyBorder="1" applyAlignment="1">
      <alignment horizontal="center"/>
    </xf>
    <xf numFmtId="43" fontId="0" fillId="0" borderId="58" xfId="0" applyNumberFormat="1" applyFont="1" applyBorder="1" applyAlignment="1">
      <alignment horizontal="center"/>
    </xf>
    <xf numFmtId="43" fontId="0" fillId="0" borderId="43" xfId="0" applyNumberFormat="1" applyBorder="1" applyAlignment="1">
      <alignment horizontal="center"/>
    </xf>
    <xf numFmtId="43" fontId="2" fillId="0" borderId="45" xfId="0" applyNumberFormat="1" applyFont="1" applyBorder="1" applyAlignment="1">
      <alignment horizontal="center"/>
    </xf>
    <xf numFmtId="43" fontId="2" fillId="0" borderId="47" xfId="0" applyNumberFormat="1" applyFont="1" applyBorder="1" applyAlignment="1">
      <alignment horizontal="center"/>
    </xf>
    <xf numFmtId="43" fontId="0" fillId="33" borderId="43" xfId="0" applyNumberFormat="1" applyFill="1" applyBorder="1" applyAlignment="1">
      <alignment horizontal="center"/>
    </xf>
    <xf numFmtId="43" fontId="0" fillId="33" borderId="47" xfId="0" applyNumberForma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6" fillId="0" borderId="43" xfId="0" applyNumberFormat="1" applyFont="1" applyBorder="1" applyAlignment="1">
      <alignment/>
    </xf>
    <xf numFmtId="43" fontId="0" fillId="33" borderId="42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70" fontId="2" fillId="0" borderId="0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43" fontId="2" fillId="0" borderId="63" xfId="0" applyNumberFormat="1" applyFont="1" applyBorder="1" applyAlignment="1">
      <alignment horizontal="center"/>
    </xf>
    <xf numFmtId="43" fontId="2" fillId="0" borderId="54" xfId="0" applyNumberFormat="1" applyFont="1" applyBorder="1" applyAlignment="1">
      <alignment horizontal="center"/>
    </xf>
    <xf numFmtId="43" fontId="2" fillId="0" borderId="34" xfId="0" applyNumberFormat="1" applyFont="1" applyBorder="1" applyAlignment="1">
      <alignment horizontal="center"/>
    </xf>
    <xf numFmtId="10" fontId="0" fillId="0" borderId="39" xfId="0" applyNumberFormat="1" applyBorder="1" applyAlignment="1">
      <alignment/>
    </xf>
    <xf numFmtId="10" fontId="0" fillId="0" borderId="20" xfId="0" applyNumberFormat="1" applyBorder="1" applyAlignment="1">
      <alignment/>
    </xf>
    <xf numFmtId="43" fontId="0" fillId="0" borderId="57" xfId="0" applyNumberFormat="1" applyFont="1" applyBorder="1" applyAlignment="1">
      <alignment horizontal="center"/>
    </xf>
    <xf numFmtId="43" fontId="0" fillId="0" borderId="43" xfId="0" applyNumberFormat="1" applyBorder="1" applyAlignment="1">
      <alignment/>
    </xf>
    <xf numFmtId="43" fontId="0" fillId="0" borderId="47" xfId="0" applyNumberFormat="1" applyBorder="1" applyAlignment="1">
      <alignment/>
    </xf>
    <xf numFmtId="0" fontId="0" fillId="33" borderId="0" xfId="0" applyFont="1" applyFill="1" applyAlignment="1">
      <alignment/>
    </xf>
    <xf numFmtId="43" fontId="0" fillId="0" borderId="40" xfId="0" applyNumberFormat="1" applyBorder="1" applyAlignment="1">
      <alignment/>
    </xf>
    <xf numFmtId="44" fontId="0" fillId="0" borderId="40" xfId="0" applyNumberFormat="1" applyBorder="1" applyAlignment="1">
      <alignment/>
    </xf>
    <xf numFmtId="44" fontId="0" fillId="0" borderId="39" xfId="0" applyNumberFormat="1" applyBorder="1" applyAlignment="1">
      <alignment/>
    </xf>
    <xf numFmtId="44" fontId="0" fillId="0" borderId="41" xfId="0" applyNumberFormat="1" applyBorder="1" applyAlignment="1">
      <alignment/>
    </xf>
    <xf numFmtId="43" fontId="0" fillId="0" borderId="41" xfId="0" applyNumberFormat="1" applyBorder="1" applyAlignment="1">
      <alignment/>
    </xf>
    <xf numFmtId="44" fontId="0" fillId="0" borderId="38" xfId="0" applyNumberFormat="1" applyBorder="1" applyAlignment="1">
      <alignment/>
    </xf>
    <xf numFmtId="0" fontId="2" fillId="33" borderId="28" xfId="0" applyFont="1" applyFill="1" applyBorder="1" applyAlignment="1" quotePrefix="1">
      <alignment/>
    </xf>
    <xf numFmtId="43" fontId="2" fillId="33" borderId="40" xfId="0" applyNumberFormat="1" applyFont="1" applyFill="1" applyBorder="1" applyAlignment="1">
      <alignment/>
    </xf>
    <xf numFmtId="44" fontId="2" fillId="33" borderId="4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44" fontId="2" fillId="33" borderId="41" xfId="0" applyNumberFormat="1" applyFont="1" applyFill="1" applyBorder="1" applyAlignment="1">
      <alignment/>
    </xf>
    <xf numFmtId="43" fontId="2" fillId="33" borderId="41" xfId="0" applyNumberFormat="1" applyFont="1" applyFill="1" applyBorder="1" applyAlignment="1">
      <alignment/>
    </xf>
    <xf numFmtId="44" fontId="2" fillId="33" borderId="38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5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33" xfId="0" applyFont="1" applyBorder="1" applyAlignment="1">
      <alignment/>
    </xf>
    <xf numFmtId="13" fontId="0" fillId="0" borderId="41" xfId="0" applyNumberFormat="1" applyBorder="1" applyAlignment="1">
      <alignment/>
    </xf>
    <xf numFmtId="43" fontId="0" fillId="0" borderId="30" xfId="0" applyNumberFormat="1" applyFont="1" applyBorder="1" applyAlignment="1">
      <alignment horizontal="center"/>
    </xf>
    <xf numFmtId="43" fontId="0" fillId="0" borderId="15" xfId="0" applyNumberFormat="1" applyBorder="1" applyAlignment="1">
      <alignment/>
    </xf>
    <xf numFmtId="13" fontId="0" fillId="0" borderId="33" xfId="0" applyNumberFormat="1" applyBorder="1" applyAlignment="1">
      <alignment/>
    </xf>
    <xf numFmtId="43" fontId="2" fillId="33" borderId="28" xfId="0" applyNumberFormat="1" applyFont="1" applyFill="1" applyBorder="1" applyAlignment="1">
      <alignment/>
    </xf>
    <xf numFmtId="44" fontId="2" fillId="33" borderId="39" xfId="0" applyNumberFormat="1" applyFont="1" applyFill="1" applyBorder="1" applyAlignment="1">
      <alignment/>
    </xf>
    <xf numFmtId="44" fontId="2" fillId="33" borderId="33" xfId="0" applyNumberFormat="1" applyFont="1" applyFill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33" borderId="14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6" fillId="0" borderId="42" xfId="0" applyNumberFormat="1" applyFont="1" applyBorder="1" applyAlignment="1">
      <alignment/>
    </xf>
    <xf numFmtId="44" fontId="0" fillId="0" borderId="57" xfId="0" applyNumberFormat="1" applyFont="1" applyBorder="1" applyAlignment="1">
      <alignment horizontal="center"/>
    </xf>
    <xf numFmtId="44" fontId="0" fillId="0" borderId="4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3" fontId="0" fillId="0" borderId="15" xfId="0" applyNumberFormat="1" applyBorder="1" applyAlignment="1">
      <alignment/>
    </xf>
    <xf numFmtId="13" fontId="0" fillId="0" borderId="0" xfId="0" applyNumberFormat="1" applyBorder="1" applyAlignment="1">
      <alignment/>
    </xf>
    <xf numFmtId="0" fontId="0" fillId="0" borderId="28" xfId="0" applyFont="1" applyBorder="1" applyAlignment="1">
      <alignment/>
    </xf>
    <xf numFmtId="13" fontId="0" fillId="0" borderId="28" xfId="0" applyNumberFormat="1" applyBorder="1" applyAlignment="1">
      <alignment/>
    </xf>
    <xf numFmtId="1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Alignment="1" quotePrefix="1">
      <alignment/>
    </xf>
    <xf numFmtId="43" fontId="0" fillId="0" borderId="28" xfId="0" applyNumberFormat="1" applyBorder="1" applyAlignment="1">
      <alignment/>
    </xf>
    <xf numFmtId="0" fontId="0" fillId="0" borderId="15" xfId="0" applyFont="1" applyBorder="1" applyAlignment="1" quotePrefix="1">
      <alignment/>
    </xf>
    <xf numFmtId="43" fontId="2" fillId="0" borderId="15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4" xfId="0" applyNumberFormat="1" applyFont="1" applyBorder="1" applyAlignment="1">
      <alignment horizontal="center"/>
    </xf>
    <xf numFmtId="43" fontId="0" fillId="0" borderId="47" xfId="0" applyNumberFormat="1" applyFont="1" applyBorder="1" applyAlignment="1">
      <alignment horizontal="center"/>
    </xf>
    <xf numFmtId="0" fontId="0" fillId="0" borderId="21" xfId="0" applyBorder="1" applyAlignment="1" quotePrefix="1">
      <alignment/>
    </xf>
    <xf numFmtId="44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31" xfId="0" applyFont="1" applyBorder="1" applyAlignment="1">
      <alignment horizontal="center"/>
    </xf>
    <xf numFmtId="43" fontId="0" fillId="0" borderId="45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0" xfId="0" applyFont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0" borderId="65" xfId="0" applyNumberFormat="1" applyFont="1" applyBorder="1" applyAlignment="1">
      <alignment horizontal="center"/>
    </xf>
    <xf numFmtId="44" fontId="0" fillId="0" borderId="66" xfId="0" applyNumberFormat="1" applyBorder="1" applyAlignment="1">
      <alignment/>
    </xf>
    <xf numFmtId="43" fontId="0" fillId="0" borderId="64" xfId="0" applyNumberFormat="1" applyBorder="1" applyAlignment="1">
      <alignment/>
    </xf>
    <xf numFmtId="10" fontId="0" fillId="0" borderId="41" xfId="0" applyNumberFormat="1" applyBorder="1" applyAlignment="1">
      <alignment/>
    </xf>
    <xf numFmtId="44" fontId="0" fillId="33" borderId="10" xfId="0" applyNumberFormat="1" applyFill="1" applyBorder="1" applyAlignment="1">
      <alignment/>
    </xf>
    <xf numFmtId="0" fontId="24" fillId="0" borderId="0" xfId="0" applyFont="1" applyAlignment="1">
      <alignment/>
    </xf>
    <xf numFmtId="44" fontId="0" fillId="0" borderId="0" xfId="0" applyNumberFormat="1" applyFont="1" applyAlignment="1">
      <alignment/>
    </xf>
    <xf numFmtId="0" fontId="25" fillId="0" borderId="28" xfId="0" applyFont="1" applyBorder="1" applyAlignment="1">
      <alignment/>
    </xf>
    <xf numFmtId="10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N57"/>
  <sheetViews>
    <sheetView zoomScale="130" zoomScaleNormal="130" zoomScalePageLayoutView="0" workbookViewId="0" topLeftCell="A40">
      <selection activeCell="D47" sqref="D47"/>
    </sheetView>
  </sheetViews>
  <sheetFormatPr defaultColWidth="11.421875" defaultRowHeight="12.75"/>
  <cols>
    <col min="3" max="3" width="3.140625" style="0" customWidth="1"/>
    <col min="4" max="4" width="13.28125" style="0" customWidth="1"/>
    <col min="5" max="5" width="29.00390625" style="0" customWidth="1"/>
    <col min="9" max="9" width="15.421875" style="0" bestFit="1" customWidth="1"/>
    <col min="10" max="10" width="14.421875" style="0" customWidth="1"/>
    <col min="11" max="11" width="15.00390625" style="0" customWidth="1"/>
    <col min="12" max="12" width="13.8515625" style="0" bestFit="1" customWidth="1"/>
    <col min="14" max="14" width="11.8515625" style="0" bestFit="1" customWidth="1"/>
  </cols>
  <sheetData>
    <row r="3" ht="12.75">
      <c r="E3" t="s">
        <v>61</v>
      </c>
    </row>
    <row r="5" ht="12.75">
      <c r="E5" t="s">
        <v>20</v>
      </c>
    </row>
    <row r="6" ht="12.75">
      <c r="E6" s="16" t="s">
        <v>21</v>
      </c>
    </row>
    <row r="7" ht="12.75">
      <c r="E7" s="16"/>
    </row>
    <row r="8" spans="5:10" ht="12.75">
      <c r="E8" s="53" t="s">
        <v>29</v>
      </c>
      <c r="F8" s="51"/>
      <c r="G8" s="52" t="s">
        <v>31</v>
      </c>
      <c r="H8" s="52" t="s">
        <v>32</v>
      </c>
      <c r="I8" s="52" t="s">
        <v>5</v>
      </c>
      <c r="J8" s="57"/>
    </row>
    <row r="9" spans="5:10" ht="12.75">
      <c r="E9" s="53" t="s">
        <v>23</v>
      </c>
      <c r="F9" s="52" t="s">
        <v>27</v>
      </c>
      <c r="G9" s="54">
        <v>35000</v>
      </c>
      <c r="H9" s="54">
        <v>70000</v>
      </c>
      <c r="I9" s="54">
        <f>+G9+H9</f>
        <v>105000</v>
      </c>
      <c r="J9" s="58"/>
    </row>
    <row r="10" spans="5:10" ht="12.75">
      <c r="E10" s="53"/>
      <c r="F10" s="52" t="s">
        <v>28</v>
      </c>
      <c r="G10" s="54">
        <f>4500*(10*1.45)</f>
        <v>65250</v>
      </c>
      <c r="H10" s="54">
        <v>30000</v>
      </c>
      <c r="I10" s="54">
        <f>+G10+H10</f>
        <v>95250</v>
      </c>
      <c r="J10" s="58"/>
    </row>
    <row r="11" spans="6:10" ht="12.75">
      <c r="F11" t="s">
        <v>30</v>
      </c>
      <c r="G11" s="56">
        <f>G9+G10</f>
        <v>100250</v>
      </c>
      <c r="H11" s="55">
        <f>+H9+H10</f>
        <v>100000</v>
      </c>
      <c r="I11" s="54">
        <f>+I9+I10</f>
        <v>200250</v>
      </c>
      <c r="J11" s="58"/>
    </row>
    <row r="13" spans="7:8" ht="12.75">
      <c r="G13" t="s">
        <v>36</v>
      </c>
      <c r="H13" t="s">
        <v>4</v>
      </c>
    </row>
    <row r="14" ht="3.75" customHeight="1" thickBot="1"/>
    <row r="15" spans="5:12" ht="12.75">
      <c r="E15" t="s">
        <v>0</v>
      </c>
      <c r="F15" s="1" t="s">
        <v>1</v>
      </c>
      <c r="G15" s="1" t="s">
        <v>2</v>
      </c>
      <c r="H15" s="86" t="s">
        <v>3</v>
      </c>
      <c r="I15" s="94" t="s">
        <v>33</v>
      </c>
      <c r="J15" s="95" t="s">
        <v>34</v>
      </c>
      <c r="K15" s="95" t="s">
        <v>35</v>
      </c>
      <c r="L15" s="96" t="s">
        <v>6</v>
      </c>
    </row>
    <row r="16" spans="8:12" ht="3" customHeight="1">
      <c r="H16" s="63"/>
      <c r="I16" s="97"/>
      <c r="J16" s="3"/>
      <c r="K16" s="3"/>
      <c r="L16" s="75"/>
    </row>
    <row r="17" spans="5:12" ht="12.75">
      <c r="E17" s="1" t="s">
        <v>7</v>
      </c>
      <c r="F17" s="6">
        <f>SUM(G17:L17)</f>
        <v>240000</v>
      </c>
      <c r="G17" s="6">
        <v>10000</v>
      </c>
      <c r="H17" s="87">
        <v>5000</v>
      </c>
      <c r="I17" s="98">
        <v>2000</v>
      </c>
      <c r="J17" s="6">
        <v>3000</v>
      </c>
      <c r="K17" s="6">
        <v>20000</v>
      </c>
      <c r="L17" s="99">
        <v>200000</v>
      </c>
    </row>
    <row r="18" spans="5:12" ht="12.75">
      <c r="E18" s="1" t="s">
        <v>8</v>
      </c>
      <c r="F18" s="6">
        <f>SUM(G18:L18)</f>
        <v>20000</v>
      </c>
      <c r="G18" s="6">
        <v>17000</v>
      </c>
      <c r="H18" s="87">
        <v>1000</v>
      </c>
      <c r="I18" s="98">
        <v>1000</v>
      </c>
      <c r="J18" s="6"/>
      <c r="K18" s="6"/>
      <c r="L18" s="99">
        <v>1000</v>
      </c>
    </row>
    <row r="19" spans="5:12" ht="12.75">
      <c r="E19" s="1" t="s">
        <v>9</v>
      </c>
      <c r="F19" s="6">
        <f>SUM(G19:L19)</f>
        <v>10000</v>
      </c>
      <c r="G19" s="6">
        <v>2000</v>
      </c>
      <c r="H19" s="87"/>
      <c r="I19" s="98"/>
      <c r="J19" s="6"/>
      <c r="K19" s="6"/>
      <c r="L19" s="99">
        <v>8000</v>
      </c>
    </row>
    <row r="20" spans="5:12" ht="13.5" thickBot="1">
      <c r="E20" s="4" t="s">
        <v>10</v>
      </c>
      <c r="F20" s="11">
        <f>SUM(G20:L20)</f>
        <v>22000</v>
      </c>
      <c r="G20" s="11"/>
      <c r="H20" s="88"/>
      <c r="I20" s="34">
        <v>2000</v>
      </c>
      <c r="J20" s="11">
        <v>10000</v>
      </c>
      <c r="K20" s="11">
        <v>5000</v>
      </c>
      <c r="L20" s="35">
        <v>5000</v>
      </c>
    </row>
    <row r="21" spans="5:12" ht="13.5" thickBot="1">
      <c r="E21" s="13" t="s">
        <v>11</v>
      </c>
      <c r="F21" s="14">
        <f aca="true" t="shared" si="0" ref="F21:L21">SUM(F17:F20)</f>
        <v>292000</v>
      </c>
      <c r="G21" s="14">
        <f t="shared" si="0"/>
        <v>29000</v>
      </c>
      <c r="H21" s="89">
        <f t="shared" si="0"/>
        <v>6000</v>
      </c>
      <c r="I21" s="100">
        <f t="shared" si="0"/>
        <v>5000</v>
      </c>
      <c r="J21" s="14">
        <f t="shared" si="0"/>
        <v>13000</v>
      </c>
      <c r="K21" s="14">
        <f t="shared" si="0"/>
        <v>25000</v>
      </c>
      <c r="L21" s="15">
        <f t="shared" si="0"/>
        <v>214000</v>
      </c>
    </row>
    <row r="22" spans="5:12" ht="13.5" thickBot="1">
      <c r="E22" s="5"/>
      <c r="F22" s="12"/>
      <c r="G22" s="12"/>
      <c r="H22" s="90"/>
      <c r="I22" s="101"/>
      <c r="J22" s="12"/>
      <c r="K22" s="12"/>
      <c r="L22" s="47"/>
    </row>
    <row r="23" spans="5:14" ht="12.75">
      <c r="E23" s="2" t="s">
        <v>12</v>
      </c>
      <c r="F23" s="6"/>
      <c r="G23" s="78">
        <f>-G43</f>
        <v>-39250</v>
      </c>
      <c r="H23" s="91" t="s">
        <v>37</v>
      </c>
      <c r="I23" s="106">
        <f>0.05*G43</f>
        <v>1962.5</v>
      </c>
      <c r="J23" s="6"/>
      <c r="K23" s="6">
        <f>0.1*G43</f>
        <v>3925</v>
      </c>
      <c r="L23" s="107">
        <f>0.35*G43</f>
        <v>13737.5</v>
      </c>
      <c r="N23" s="110">
        <f>L23+K23+I23+H24</f>
        <v>39250</v>
      </c>
    </row>
    <row r="24" spans="5:12" ht="13.5" thickBot="1">
      <c r="E24" s="2"/>
      <c r="F24" s="6"/>
      <c r="G24" s="81"/>
      <c r="H24" s="92">
        <f>0.5*G43</f>
        <v>19625</v>
      </c>
      <c r="I24" s="98"/>
      <c r="J24" s="6"/>
      <c r="K24" s="6"/>
      <c r="L24" s="99"/>
    </row>
    <row r="25" spans="5:12" ht="12.75">
      <c r="E25" s="2" t="s">
        <v>13</v>
      </c>
      <c r="F25" s="79"/>
      <c r="G25" s="80" t="s">
        <v>38</v>
      </c>
      <c r="H25" s="68">
        <f>-G45</f>
        <v>-25625</v>
      </c>
      <c r="I25" s="106">
        <f>0.15*G45</f>
        <v>3843.75</v>
      </c>
      <c r="J25" s="111">
        <f>I25</f>
        <v>3843.75</v>
      </c>
      <c r="K25" s="111">
        <f>I25</f>
        <v>3843.75</v>
      </c>
      <c r="L25" s="107">
        <f>I25</f>
        <v>3843.75</v>
      </c>
    </row>
    <row r="26" spans="5:12" ht="13.5" thickBot="1">
      <c r="E26" s="4"/>
      <c r="F26" s="81"/>
      <c r="G26" s="82">
        <f>0.4*G45</f>
        <v>10250</v>
      </c>
      <c r="H26" s="65"/>
      <c r="I26" s="34"/>
      <c r="J26" s="11"/>
      <c r="K26" s="11"/>
      <c r="L26" s="35"/>
    </row>
    <row r="27" spans="5:12" ht="13.5" thickBot="1">
      <c r="E27" s="62"/>
      <c r="F27" s="83"/>
      <c r="G27" s="84"/>
      <c r="H27" s="74"/>
      <c r="I27" s="102"/>
      <c r="J27" s="85"/>
      <c r="K27" s="85"/>
      <c r="L27" s="103"/>
    </row>
    <row r="28" spans="5:12" ht="13.5" thickBot="1">
      <c r="E28" s="17" t="s">
        <v>14</v>
      </c>
      <c r="F28" s="18">
        <f>SUM(I28:L28)</f>
        <v>292000</v>
      </c>
      <c r="G28" s="18">
        <f>G21+G23+G26</f>
        <v>0</v>
      </c>
      <c r="H28" s="93">
        <f>H21+H24+H25</f>
        <v>0</v>
      </c>
      <c r="I28" s="108">
        <f>SUM(I21:I25)</f>
        <v>10806.25</v>
      </c>
      <c r="J28" s="119">
        <f>J21+J25</f>
        <v>16843.75</v>
      </c>
      <c r="K28" s="119">
        <f>SUM(K21:K25)</f>
        <v>32768.75</v>
      </c>
      <c r="L28" s="109">
        <f>SUM(L21:L25)</f>
        <v>231581.25</v>
      </c>
    </row>
    <row r="29" spans="5:12" ht="13.5" thickBot="1">
      <c r="E29" s="19"/>
      <c r="F29" s="20"/>
      <c r="G29" s="20"/>
      <c r="H29" s="21"/>
      <c r="I29" s="104"/>
      <c r="J29" s="20"/>
      <c r="K29" s="20"/>
      <c r="L29" s="105"/>
    </row>
    <row r="30" spans="5:12" ht="12.75">
      <c r="E30" s="25" t="s">
        <v>22</v>
      </c>
      <c r="F30" s="26"/>
      <c r="G30" s="26"/>
      <c r="H30" s="27"/>
      <c r="I30" s="24" t="s">
        <v>60</v>
      </c>
      <c r="J30" s="59" t="s">
        <v>44</v>
      </c>
      <c r="K30" s="29" t="s">
        <v>45</v>
      </c>
      <c r="L30" s="30" t="s">
        <v>46</v>
      </c>
    </row>
    <row r="31" spans="5:12" ht="12.75">
      <c r="E31" s="40"/>
      <c r="F31" s="41"/>
      <c r="G31" s="41"/>
      <c r="H31" s="42"/>
      <c r="I31" s="43"/>
      <c r="J31" s="60"/>
      <c r="K31" s="44"/>
      <c r="L31" s="45"/>
    </row>
    <row r="32" spans="5:12" ht="12.75">
      <c r="E32" s="40" t="s">
        <v>25</v>
      </c>
      <c r="F32" s="41"/>
      <c r="G32" s="41"/>
      <c r="H32" s="42"/>
      <c r="I32" s="49">
        <f>FIC_st!F27</f>
        <v>800</v>
      </c>
      <c r="J32" s="116">
        <v>450</v>
      </c>
      <c r="K32" s="239" t="s">
        <v>86</v>
      </c>
      <c r="L32" s="45">
        <v>210000</v>
      </c>
    </row>
    <row r="33" spans="5:12" ht="13.5" thickBot="1">
      <c r="E33" s="40" t="s">
        <v>26</v>
      </c>
      <c r="F33" s="41"/>
      <c r="G33" s="41"/>
      <c r="H33" s="42"/>
      <c r="I33" s="50">
        <f>FIC_st!F42</f>
        <v>400</v>
      </c>
      <c r="J33" s="117">
        <v>250</v>
      </c>
      <c r="K33" s="240" t="s">
        <v>87</v>
      </c>
      <c r="L33" s="48">
        <v>120000</v>
      </c>
    </row>
    <row r="34" spans="5:12" ht="13.5" thickTop="1">
      <c r="E34" s="28" t="s">
        <v>24</v>
      </c>
      <c r="F34" s="22"/>
      <c r="G34" s="22"/>
      <c r="H34" s="23"/>
      <c r="I34" s="46">
        <f>+I32+I33</f>
        <v>1200</v>
      </c>
      <c r="J34" s="118">
        <f>+J32+J33</f>
        <v>700</v>
      </c>
      <c r="K34" s="46">
        <v>2500</v>
      </c>
      <c r="L34" s="47">
        <f>+L32+L33</f>
        <v>330000</v>
      </c>
    </row>
    <row r="35" spans="5:12" ht="13.5" thickBot="1">
      <c r="E35" s="31"/>
      <c r="F35" s="32"/>
      <c r="G35" s="32"/>
      <c r="H35" s="33"/>
      <c r="I35" s="34"/>
      <c r="J35" s="61"/>
      <c r="K35" s="11"/>
      <c r="L35" s="35"/>
    </row>
    <row r="36" spans="5:12" ht="18.75" thickBot="1">
      <c r="E36" s="36" t="s">
        <v>15</v>
      </c>
      <c r="F36" s="37"/>
      <c r="G36" s="37"/>
      <c r="H36" s="38"/>
      <c r="I36" s="112">
        <f>I28/I34</f>
        <v>9.005208333333334</v>
      </c>
      <c r="J36" s="113">
        <f>+J28/J34</f>
        <v>24.0625</v>
      </c>
      <c r="K36" s="114">
        <f>K28/K34</f>
        <v>13.1075</v>
      </c>
      <c r="L36" s="115">
        <f>L28/L34</f>
        <v>0.7017613636363637</v>
      </c>
    </row>
    <row r="38" spans="6:8" ht="12.75">
      <c r="F38" s="64" t="s">
        <v>39</v>
      </c>
      <c r="G38" s="65">
        <f>G21</f>
        <v>29000</v>
      </c>
      <c r="H38" s="66" t="s">
        <v>40</v>
      </c>
    </row>
    <row r="39" spans="6:8" ht="12.75">
      <c r="F39" s="67" t="s">
        <v>41</v>
      </c>
      <c r="G39" s="68">
        <f>H21</f>
        <v>6000</v>
      </c>
      <c r="H39" s="69" t="s">
        <v>42</v>
      </c>
    </row>
    <row r="40" ht="13.5" thickBot="1"/>
    <row r="41" spans="5:10" ht="12.75">
      <c r="E41" s="7"/>
      <c r="F41" s="70" t="s">
        <v>39</v>
      </c>
      <c r="G41" s="71">
        <f>G38</f>
        <v>29000</v>
      </c>
      <c r="H41" s="71">
        <f>0.4*G39</f>
        <v>2400</v>
      </c>
      <c r="I41" s="70">
        <f>0.4*0.5</f>
        <v>0.2</v>
      </c>
      <c r="J41" s="72" t="s">
        <v>36</v>
      </c>
    </row>
    <row r="42" spans="5:10" ht="12.75">
      <c r="E42" s="73">
        <f>1-I41</f>
        <v>0.8</v>
      </c>
      <c r="F42" s="3" t="s">
        <v>39</v>
      </c>
      <c r="G42" s="74">
        <f>G41+H41</f>
        <v>31400</v>
      </c>
      <c r="H42" s="3"/>
      <c r="I42" s="3"/>
      <c r="J42" s="75"/>
    </row>
    <row r="43" spans="5:10" ht="13.5" thickBot="1">
      <c r="E43" s="76"/>
      <c r="F43" s="8" t="s">
        <v>39</v>
      </c>
      <c r="G43" s="8">
        <f>+G42/E42</f>
        <v>39250</v>
      </c>
      <c r="H43" s="8"/>
      <c r="I43" s="8"/>
      <c r="J43" s="77"/>
    </row>
    <row r="45" spans="6:7" ht="12.75">
      <c r="F45" t="s">
        <v>43</v>
      </c>
      <c r="G45" s="56">
        <f>(G43*0.5)+G39</f>
        <v>25625</v>
      </c>
    </row>
    <row r="51" ht="12.75">
      <c r="E51" s="245" t="s">
        <v>94</v>
      </c>
    </row>
    <row r="53" ht="12.75">
      <c r="E53" s="120" t="s">
        <v>95</v>
      </c>
    </row>
    <row r="55" ht="12.75">
      <c r="E55" s="120" t="s">
        <v>96</v>
      </c>
    </row>
    <row r="57" ht="12.75">
      <c r="E57" s="120" t="s">
        <v>97</v>
      </c>
    </row>
  </sheetData>
  <sheetProtection/>
  <hyperlinks>
    <hyperlink ref="E6" r:id="rId1" display="jscilien@u-paris10.fr 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8"/>
  <sheetViews>
    <sheetView zoomScalePageLayoutView="0" workbookViewId="0" topLeftCell="A13">
      <selection activeCell="I4" sqref="I4"/>
    </sheetView>
  </sheetViews>
  <sheetFormatPr defaultColWidth="11.421875" defaultRowHeight="12.75"/>
  <cols>
    <col min="8" max="8" width="12.8515625" style="0" bestFit="1" customWidth="1"/>
    <col min="12" max="12" width="12.8515625" style="154" bestFit="1" customWidth="1"/>
  </cols>
  <sheetData>
    <row r="2" ht="13.5" thickBot="1"/>
    <row r="3" spans="5:12" s="127" customFormat="1" ht="23.25">
      <c r="E3" s="130"/>
      <c r="F3" s="131"/>
      <c r="G3" s="131"/>
      <c r="H3" s="131"/>
      <c r="I3" s="131" t="s">
        <v>83</v>
      </c>
      <c r="J3" s="131"/>
      <c r="K3" s="131"/>
      <c r="L3" s="155"/>
    </row>
    <row r="4" spans="5:12" ht="13.5" thickBot="1">
      <c r="E4" s="132"/>
      <c r="F4" s="133"/>
      <c r="G4" s="133"/>
      <c r="H4" s="133"/>
      <c r="I4" s="133"/>
      <c r="J4" s="133"/>
      <c r="K4" s="133"/>
      <c r="L4" s="156"/>
    </row>
    <row r="5" spans="5:12" ht="13.5" thickBot="1">
      <c r="E5" s="39"/>
      <c r="F5" s="121" t="s">
        <v>16</v>
      </c>
      <c r="G5" s="121" t="s">
        <v>47</v>
      </c>
      <c r="H5" s="121" t="s">
        <v>48</v>
      </c>
      <c r="I5" s="139"/>
      <c r="J5" s="121" t="s">
        <v>16</v>
      </c>
      <c r="K5" s="121" t="s">
        <v>47</v>
      </c>
      <c r="L5" s="157" t="s">
        <v>48</v>
      </c>
    </row>
    <row r="6" spans="5:12" ht="12.75">
      <c r="E6" s="145"/>
      <c r="F6" s="146"/>
      <c r="G6" s="146"/>
      <c r="H6" s="146"/>
      <c r="I6" s="147"/>
      <c r="J6" s="146"/>
      <c r="K6" s="146"/>
      <c r="L6" s="158"/>
    </row>
    <row r="7" spans="5:12" ht="12.75">
      <c r="E7" s="134" t="s">
        <v>49</v>
      </c>
      <c r="F7" s="166" t="s">
        <v>62</v>
      </c>
      <c r="G7" s="135"/>
      <c r="H7" s="135"/>
      <c r="I7" s="141" t="s">
        <v>18</v>
      </c>
      <c r="J7" s="135"/>
      <c r="K7" s="135"/>
      <c r="L7" s="159"/>
    </row>
    <row r="8" spans="5:13" ht="12.75">
      <c r="E8" s="134"/>
      <c r="F8" s="166" t="s">
        <v>63</v>
      </c>
      <c r="G8" s="135"/>
      <c r="H8" s="135"/>
      <c r="I8" s="142" t="s">
        <v>31</v>
      </c>
      <c r="J8" s="167">
        <f>L8/K8</f>
        <v>478.7470505762063</v>
      </c>
      <c r="K8" s="136">
        <f>G15</f>
        <v>73.1075</v>
      </c>
      <c r="L8" s="169">
        <v>35000</v>
      </c>
      <c r="M8" s="173">
        <f>+L8/L11</f>
        <v>0.3333333333333333</v>
      </c>
    </row>
    <row r="9" spans="5:13" ht="13.5" thickBot="1">
      <c r="E9" s="134"/>
      <c r="F9" s="135"/>
      <c r="G9" s="135"/>
      <c r="H9" s="135"/>
      <c r="I9" s="142" t="s">
        <v>32</v>
      </c>
      <c r="J9" s="167">
        <f>L9/K9</f>
        <v>957.4941011524126</v>
      </c>
      <c r="K9" s="136">
        <f>G15</f>
        <v>73.1075</v>
      </c>
      <c r="L9" s="170">
        <v>70000</v>
      </c>
      <c r="M9" s="174">
        <f>+L9/L11</f>
        <v>0.6666666666666666</v>
      </c>
    </row>
    <row r="10" spans="5:13" ht="13.5" thickTop="1">
      <c r="E10" s="134"/>
      <c r="F10" s="135"/>
      <c r="G10" s="135"/>
      <c r="H10" s="135"/>
      <c r="I10" s="142"/>
      <c r="J10" s="167"/>
      <c r="K10" s="135"/>
      <c r="L10" s="171"/>
      <c r="M10" s="62"/>
    </row>
    <row r="11" spans="5:15" ht="13.5" thickBot="1">
      <c r="E11" s="148"/>
      <c r="F11" s="149"/>
      <c r="G11" s="149"/>
      <c r="H11" s="149"/>
      <c r="I11" s="150"/>
      <c r="J11" s="168">
        <f>+L11/K11</f>
        <v>1436.241151728619</v>
      </c>
      <c r="K11" s="153">
        <f>+G15</f>
        <v>73.1075</v>
      </c>
      <c r="L11" s="172">
        <f>+L8+L9</f>
        <v>105000</v>
      </c>
      <c r="M11" s="69"/>
      <c r="O11" s="120" t="s">
        <v>82</v>
      </c>
    </row>
    <row r="12" spans="5:15" ht="12.75">
      <c r="E12" s="134"/>
      <c r="F12" s="135"/>
      <c r="G12" s="135"/>
      <c r="H12" s="135"/>
      <c r="I12" s="141"/>
      <c r="J12" s="167"/>
      <c r="K12" s="135"/>
      <c r="L12" s="159"/>
      <c r="O12" s="120" t="s">
        <v>68</v>
      </c>
    </row>
    <row r="13" spans="3:12" ht="12.75">
      <c r="C13" s="120" t="s">
        <v>64</v>
      </c>
      <c r="E13" s="134" t="s">
        <v>4</v>
      </c>
      <c r="F13" s="135">
        <f>+couts!E11</f>
        <v>2500</v>
      </c>
      <c r="G13" s="136">
        <f>H13/F13</f>
        <v>73.1075</v>
      </c>
      <c r="H13" s="136">
        <f>+couts!G11</f>
        <v>182768.75</v>
      </c>
      <c r="I13" s="141" t="s">
        <v>19</v>
      </c>
      <c r="J13" s="167">
        <f>+F15-J11</f>
        <v>1063.758848271381</v>
      </c>
      <c r="K13" s="136">
        <f>G13</f>
        <v>73.1075</v>
      </c>
      <c r="L13" s="159">
        <f>K13*J13</f>
        <v>77768.75</v>
      </c>
    </row>
    <row r="14" spans="5:15" ht="13.5" thickBot="1">
      <c r="E14" s="132"/>
      <c r="F14" s="133"/>
      <c r="G14" s="133"/>
      <c r="H14" s="133"/>
      <c r="I14" s="140"/>
      <c r="J14" s="133"/>
      <c r="K14" s="133"/>
      <c r="L14" s="156"/>
      <c r="O14" s="120" t="s">
        <v>65</v>
      </c>
    </row>
    <row r="15" spans="5:15" ht="12.75">
      <c r="E15" s="123" t="s">
        <v>5</v>
      </c>
      <c r="F15" s="124">
        <f>+F13</f>
        <v>2500</v>
      </c>
      <c r="G15" s="152">
        <f>+G13</f>
        <v>73.1075</v>
      </c>
      <c r="H15" s="152">
        <f>+H13</f>
        <v>182768.75</v>
      </c>
      <c r="I15" s="143" t="s">
        <v>30</v>
      </c>
      <c r="J15" s="165">
        <f>J11+J13</f>
        <v>2500</v>
      </c>
      <c r="K15" s="165">
        <f>G15</f>
        <v>73.1075</v>
      </c>
      <c r="L15" s="161">
        <f>+L13+L11</f>
        <v>182768.75</v>
      </c>
      <c r="O15" s="120" t="s">
        <v>66</v>
      </c>
    </row>
    <row r="16" spans="5:15" ht="13.5" thickBot="1">
      <c r="E16" s="125"/>
      <c r="F16" s="126"/>
      <c r="G16" s="126"/>
      <c r="H16" s="126"/>
      <c r="I16" s="144"/>
      <c r="J16" s="126"/>
      <c r="K16" s="126"/>
      <c r="L16" s="162"/>
      <c r="O16" s="120" t="s">
        <v>67</v>
      </c>
    </row>
    <row r="17" spans="5:16" ht="12.75">
      <c r="E17" s="63"/>
      <c r="F17" s="63"/>
      <c r="G17" s="63"/>
      <c r="H17" s="63"/>
      <c r="I17" s="63"/>
      <c r="J17" s="63"/>
      <c r="K17" s="63"/>
      <c r="L17" s="163"/>
      <c r="P17" s="120" t="s">
        <v>81</v>
      </c>
    </row>
    <row r="18" spans="5:12" ht="12.75">
      <c r="E18" s="63"/>
      <c r="F18" s="63"/>
      <c r="G18" s="63"/>
      <c r="H18" s="63"/>
      <c r="I18" s="63"/>
      <c r="J18" s="63"/>
      <c r="K18" s="63"/>
      <c r="L18" s="163"/>
    </row>
    <row r="20" ht="13.5" thickBot="1"/>
    <row r="21" spans="5:12" s="127" customFormat="1" ht="23.25">
      <c r="E21" s="137"/>
      <c r="F21" s="138"/>
      <c r="G21" s="138"/>
      <c r="H21" s="138"/>
      <c r="I21" s="138" t="s">
        <v>50</v>
      </c>
      <c r="J21" s="138" t="s">
        <v>31</v>
      </c>
      <c r="K21" s="138" t="s">
        <v>76</v>
      </c>
      <c r="L21" s="164"/>
    </row>
    <row r="22" spans="5:12" ht="13.5" thickBot="1">
      <c r="E22" s="132"/>
      <c r="F22" s="133"/>
      <c r="G22" s="133"/>
      <c r="H22" s="133"/>
      <c r="I22" s="133"/>
      <c r="J22" s="133"/>
      <c r="K22" s="133"/>
      <c r="L22" s="156"/>
    </row>
    <row r="23" spans="5:12" ht="13.5" thickBot="1">
      <c r="E23" s="39"/>
      <c r="F23" s="121" t="s">
        <v>16</v>
      </c>
      <c r="G23" s="121" t="s">
        <v>47</v>
      </c>
      <c r="H23" s="121" t="s">
        <v>48</v>
      </c>
      <c r="I23" s="139"/>
      <c r="J23" s="121" t="s">
        <v>16</v>
      </c>
      <c r="K23" s="121" t="s">
        <v>47</v>
      </c>
      <c r="L23" s="157" t="s">
        <v>48</v>
      </c>
    </row>
    <row r="24" spans="5:12" ht="13.5" thickBot="1">
      <c r="E24" s="145"/>
      <c r="F24" s="146"/>
      <c r="G24" s="146"/>
      <c r="H24" s="146"/>
      <c r="I24" s="147"/>
      <c r="J24" s="146"/>
      <c r="K24" s="146"/>
      <c r="L24" s="158"/>
    </row>
    <row r="25" spans="3:13" ht="13.5" thickBot="1">
      <c r="C25" s="120" t="s">
        <v>79</v>
      </c>
      <c r="E25" s="148" t="s">
        <v>49</v>
      </c>
      <c r="F25" s="149">
        <f>100*2</f>
        <v>200</v>
      </c>
      <c r="G25" s="153">
        <f>G27/1.05</f>
        <v>136.9857213718821</v>
      </c>
      <c r="H25" s="153">
        <f>G25*F25</f>
        <v>27397.14427437642</v>
      </c>
      <c r="I25" s="151" t="s">
        <v>18</v>
      </c>
      <c r="J25" s="128">
        <v>700</v>
      </c>
      <c r="K25" s="230">
        <f>+G29</f>
        <v>142.4651502267574</v>
      </c>
      <c r="L25" s="231">
        <f>+J25*K25</f>
        <v>99725.60515873018</v>
      </c>
      <c r="M25" s="120" t="s">
        <v>52</v>
      </c>
    </row>
    <row r="26" spans="3:12" ht="12.75">
      <c r="C26" s="120" t="s">
        <v>80</v>
      </c>
      <c r="E26" s="134"/>
      <c r="F26" s="135"/>
      <c r="G26" s="136"/>
      <c r="H26" s="135"/>
      <c r="I26" s="141"/>
      <c r="J26" s="135"/>
      <c r="K26" s="135"/>
      <c r="L26" s="159"/>
    </row>
    <row r="27" spans="3:12" ht="12.75">
      <c r="C27" s="120"/>
      <c r="E27" s="134" t="s">
        <v>4</v>
      </c>
      <c r="F27" s="135">
        <v>800</v>
      </c>
      <c r="G27" s="136">
        <f>+H27/F27</f>
        <v>143.8350074404762</v>
      </c>
      <c r="H27" s="136">
        <f>+couts!G36</f>
        <v>115068.00595238096</v>
      </c>
      <c r="I27" s="141" t="s">
        <v>19</v>
      </c>
      <c r="J27" s="135">
        <f>+F25+F27-J25</f>
        <v>300</v>
      </c>
      <c r="K27" s="136">
        <f>G29</f>
        <v>142.4651502267574</v>
      </c>
      <c r="L27" s="159">
        <f>+K27*J27</f>
        <v>42739.54506802722</v>
      </c>
    </row>
    <row r="28" spans="5:12" ht="13.5" thickBot="1">
      <c r="E28" s="132"/>
      <c r="F28" s="133"/>
      <c r="G28" s="208"/>
      <c r="H28" s="133"/>
      <c r="I28" s="140"/>
      <c r="J28" s="133"/>
      <c r="K28" s="133"/>
      <c r="L28" s="156"/>
    </row>
    <row r="29" spans="1:12" ht="12.75">
      <c r="A29" s="120" t="s">
        <v>78</v>
      </c>
      <c r="E29" s="123" t="s">
        <v>5</v>
      </c>
      <c r="F29" s="124">
        <f>+F27+F25</f>
        <v>1000</v>
      </c>
      <c r="G29" s="152">
        <f>+H29/F29</f>
        <v>142.4651502267574</v>
      </c>
      <c r="H29" s="152">
        <f>H27+H25</f>
        <v>142465.1502267574</v>
      </c>
      <c r="I29" s="143" t="s">
        <v>30</v>
      </c>
      <c r="J29" s="124">
        <f>J27+J25</f>
        <v>1000</v>
      </c>
      <c r="K29" s="152">
        <f>G29</f>
        <v>142.4651502267574</v>
      </c>
      <c r="L29" s="161">
        <f>L27+L25</f>
        <v>142465.1502267574</v>
      </c>
    </row>
    <row r="30" spans="1:12" ht="13.5" thickBot="1">
      <c r="A30" s="228">
        <f>G25</f>
        <v>136.9857213718821</v>
      </c>
      <c r="E30" s="125"/>
      <c r="F30" s="126"/>
      <c r="G30" s="209"/>
      <c r="H30" s="126"/>
      <c r="I30" s="144"/>
      <c r="J30" s="126"/>
      <c r="K30" s="126"/>
      <c r="L30" s="162"/>
    </row>
    <row r="31" spans="1:12" ht="12.75">
      <c r="A31" s="10">
        <v>1.05</v>
      </c>
      <c r="E31" s="63"/>
      <c r="F31" s="63"/>
      <c r="G31" s="210"/>
      <c r="H31" s="63"/>
      <c r="I31" s="63"/>
      <c r="J31" s="63"/>
      <c r="K31" s="63"/>
      <c r="L31" s="163"/>
    </row>
    <row r="32" spans="1:7" ht="12.75">
      <c r="A32" s="229">
        <f>A30*A31</f>
        <v>143.83500744047623</v>
      </c>
      <c r="G32" s="110"/>
    </row>
    <row r="33" spans="1:7" ht="12.75">
      <c r="A33" s="5"/>
      <c r="G33" s="110"/>
    </row>
    <row r="34" ht="12.75">
      <c r="G34" s="110"/>
    </row>
    <row r="35" ht="13.5" thickBot="1">
      <c r="G35" s="110"/>
    </row>
    <row r="36" spans="5:12" s="127" customFormat="1" ht="23.25">
      <c r="E36" s="137"/>
      <c r="F36" s="138"/>
      <c r="G36" s="211"/>
      <c r="H36" s="138"/>
      <c r="I36" s="138" t="s">
        <v>50</v>
      </c>
      <c r="J36" s="138" t="s">
        <v>32</v>
      </c>
      <c r="K36" s="138" t="s">
        <v>77</v>
      </c>
      <c r="L36" s="164"/>
    </row>
    <row r="37" spans="5:12" ht="13.5" thickBot="1">
      <c r="E37" s="132"/>
      <c r="F37" s="133"/>
      <c r="G37" s="208"/>
      <c r="H37" s="133"/>
      <c r="I37" s="133"/>
      <c r="J37" s="133"/>
      <c r="K37" s="133"/>
      <c r="L37" s="156"/>
    </row>
    <row r="38" spans="5:12" ht="13.5" thickBot="1">
      <c r="E38" s="39"/>
      <c r="F38" s="121" t="s">
        <v>16</v>
      </c>
      <c r="G38" s="212" t="s">
        <v>47</v>
      </c>
      <c r="H38" s="121" t="s">
        <v>48</v>
      </c>
      <c r="I38" s="139"/>
      <c r="J38" s="121" t="s">
        <v>16</v>
      </c>
      <c r="K38" s="121" t="s">
        <v>47</v>
      </c>
      <c r="L38" s="157" t="s">
        <v>48</v>
      </c>
    </row>
    <row r="39" spans="5:12" ht="13.5" thickBot="1">
      <c r="E39" s="145"/>
      <c r="F39" s="146"/>
      <c r="G39" s="213"/>
      <c r="H39" s="146"/>
      <c r="I39" s="147"/>
      <c r="J39" s="146"/>
      <c r="K39" s="146"/>
      <c r="L39" s="158"/>
    </row>
    <row r="40" spans="3:13" ht="13.5" thickBot="1">
      <c r="C40" t="str">
        <f>+C25</f>
        <v>DOUBLE SS en volumes </v>
      </c>
      <c r="E40" s="148" t="s">
        <v>49</v>
      </c>
      <c r="F40" s="149">
        <f>200*2</f>
        <v>400</v>
      </c>
      <c r="G40" s="153">
        <f>G42/1.05</f>
        <v>271.62379535147386</v>
      </c>
      <c r="H40" s="153">
        <f>G40*F40</f>
        <v>108649.51814058954</v>
      </c>
      <c r="I40" s="151" t="s">
        <v>18</v>
      </c>
      <c r="J40" s="128">
        <v>300</v>
      </c>
      <c r="K40" s="153">
        <f>+G44</f>
        <v>278.4143902352607</v>
      </c>
      <c r="L40" s="160">
        <f>+K40*J40</f>
        <v>83524.31707057822</v>
      </c>
      <c r="M40" s="120" t="s">
        <v>52</v>
      </c>
    </row>
    <row r="41" spans="5:12" ht="12.75">
      <c r="E41" s="134"/>
      <c r="F41" s="135"/>
      <c r="G41" s="136"/>
      <c r="H41" s="135"/>
      <c r="I41" s="141"/>
      <c r="J41" s="135"/>
      <c r="K41" s="135"/>
      <c r="L41" s="159"/>
    </row>
    <row r="42" spans="3:12" ht="12.75">
      <c r="C42" s="120" t="s">
        <v>51</v>
      </c>
      <c r="E42" s="134" t="s">
        <v>4</v>
      </c>
      <c r="F42" s="135">
        <v>400</v>
      </c>
      <c r="G42" s="136">
        <f>+H42/F42</f>
        <v>285.2049851190476</v>
      </c>
      <c r="H42" s="136">
        <f>+couts!J36</f>
        <v>114081.99404761904</v>
      </c>
      <c r="I42" s="141" t="s">
        <v>19</v>
      </c>
      <c r="J42" s="135">
        <f>+F40+F42-J40</f>
        <v>500</v>
      </c>
      <c r="K42" s="136">
        <f>+G44</f>
        <v>278.4143902352607</v>
      </c>
      <c r="L42" s="159">
        <f>K42*J42</f>
        <v>139207.19511763036</v>
      </c>
    </row>
    <row r="43" spans="5:12" ht="13.5" thickBot="1">
      <c r="E43" s="132"/>
      <c r="F43" s="133"/>
      <c r="G43" s="208"/>
      <c r="H43" s="133"/>
      <c r="I43" s="140"/>
      <c r="J43" s="133"/>
      <c r="K43" s="133"/>
      <c r="L43" s="156"/>
    </row>
    <row r="44" spans="1:12" ht="12.75">
      <c r="A44" s="120" t="s">
        <v>78</v>
      </c>
      <c r="E44" s="123" t="s">
        <v>5</v>
      </c>
      <c r="F44" s="124">
        <f>+F42+F40</f>
        <v>800</v>
      </c>
      <c r="G44" s="152">
        <f>+H44/F44</f>
        <v>278.4143902352607</v>
      </c>
      <c r="H44" s="152">
        <f>H42+H40</f>
        <v>222731.51218820858</v>
      </c>
      <c r="I44" s="143" t="s">
        <v>30</v>
      </c>
      <c r="J44" s="124">
        <f>+J42+J40</f>
        <v>800</v>
      </c>
      <c r="K44" s="152">
        <f>+G44</f>
        <v>278.4143902352607</v>
      </c>
      <c r="L44" s="161">
        <f>L42+L40</f>
        <v>222731.51218820858</v>
      </c>
    </row>
    <row r="45" spans="1:12" ht="13.5" thickBot="1">
      <c r="A45" s="228">
        <f>G40</f>
        <v>271.62379535147386</v>
      </c>
      <c r="E45" s="125"/>
      <c r="F45" s="126"/>
      <c r="G45" s="209"/>
      <c r="H45" s="126"/>
      <c r="I45" s="144"/>
      <c r="J45" s="126"/>
      <c r="K45" s="126"/>
      <c r="L45" s="162"/>
    </row>
    <row r="46" spans="1:12" ht="12.75">
      <c r="A46" s="10">
        <v>1.05</v>
      </c>
      <c r="E46" s="63"/>
      <c r="F46" s="63"/>
      <c r="G46" s="210"/>
      <c r="H46" s="63"/>
      <c r="I46" s="63"/>
      <c r="J46" s="63"/>
      <c r="K46" s="63"/>
      <c r="L46" s="163"/>
    </row>
    <row r="47" spans="1:7" ht="12.75">
      <c r="A47" s="229">
        <f>A45*A46</f>
        <v>285.2049851190476</v>
      </c>
      <c r="G47" s="110"/>
    </row>
    <row r="48" ht="12.75">
      <c r="A4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tabSelected="1" zoomScalePageLayoutView="0" workbookViewId="0" topLeftCell="A1">
      <selection activeCell="I50" sqref="I50"/>
    </sheetView>
  </sheetViews>
  <sheetFormatPr defaultColWidth="11.421875" defaultRowHeight="12.75"/>
  <cols>
    <col min="4" max="4" width="36.8515625" style="0" customWidth="1"/>
    <col min="5" max="5" width="12.8515625" style="0" bestFit="1" customWidth="1"/>
    <col min="6" max="6" width="11.57421875" style="0" bestFit="1" customWidth="1"/>
    <col min="7" max="7" width="13.00390625" style="0" bestFit="1" customWidth="1"/>
    <col min="8" max="8" width="12.8515625" style="0" bestFit="1" customWidth="1"/>
    <col min="9" max="9" width="11.57421875" style="0" bestFit="1" customWidth="1"/>
    <col min="10" max="10" width="14.421875" style="0" customWidth="1"/>
    <col min="11" max="11" width="1.7109375" style="0" customWidth="1"/>
    <col min="14" max="14" width="12.8515625" style="0" bestFit="1" customWidth="1"/>
    <col min="15" max="15" width="14.7109375" style="0" bestFit="1" customWidth="1"/>
  </cols>
  <sheetData>
    <row r="2" ht="12.75">
      <c r="F2" s="178" t="s">
        <v>64</v>
      </c>
    </row>
    <row r="4" ht="13.5" thickBot="1"/>
    <row r="5" spans="4:7" ht="13.5" thickBot="1">
      <c r="D5" s="237"/>
      <c r="E5" s="235" t="s">
        <v>16</v>
      </c>
      <c r="F5" s="121" t="s">
        <v>47</v>
      </c>
      <c r="G5" s="122" t="s">
        <v>48</v>
      </c>
    </row>
    <row r="6" spans="4:7" ht="12.75">
      <c r="D6" s="226"/>
      <c r="E6" s="97"/>
      <c r="F6" s="3"/>
      <c r="G6" s="75"/>
    </row>
    <row r="7" spans="4:7" ht="12.75">
      <c r="D7" s="238" t="s">
        <v>54</v>
      </c>
      <c r="E7" s="97">
        <v>2500</v>
      </c>
      <c r="F7" s="3">
        <f>+G7/E7</f>
        <v>60</v>
      </c>
      <c r="G7" s="236">
        <v>150000</v>
      </c>
    </row>
    <row r="8" spans="4:7" ht="12.75">
      <c r="D8" s="226"/>
      <c r="E8" s="97"/>
      <c r="F8" s="3"/>
      <c r="G8" s="236"/>
    </row>
    <row r="9" spans="4:7" ht="12.75">
      <c r="D9" s="238" t="s">
        <v>55</v>
      </c>
      <c r="E9" s="97">
        <f>E7</f>
        <v>2500</v>
      </c>
      <c r="F9" s="198">
        <f>G9/E9</f>
        <v>13.1075</v>
      </c>
      <c r="G9" s="236">
        <f>+'info services'!K28</f>
        <v>32768.75</v>
      </c>
    </row>
    <row r="10" spans="4:7" ht="13.5" thickBot="1">
      <c r="D10" s="227"/>
      <c r="E10" s="97"/>
      <c r="F10" s="3"/>
      <c r="G10" s="236"/>
    </row>
    <row r="11" spans="4:7" ht="12.75">
      <c r="D11" s="129" t="s">
        <v>53</v>
      </c>
      <c r="E11" s="7">
        <f>+E7</f>
        <v>2500</v>
      </c>
      <c r="F11" s="70">
        <f>+G11/E11</f>
        <v>73.1075</v>
      </c>
      <c r="G11" s="176">
        <f>+G7+G9</f>
        <v>182768.75</v>
      </c>
    </row>
    <row r="12" spans="4:7" ht="13.5" thickBot="1">
      <c r="D12" s="76"/>
      <c r="E12" s="76"/>
      <c r="F12" s="8"/>
      <c r="G12" s="177"/>
    </row>
    <row r="16" ht="12.75">
      <c r="F16" s="178" t="s">
        <v>56</v>
      </c>
    </row>
    <row r="18" spans="4:14" ht="12.75">
      <c r="D18" s="64"/>
      <c r="E18" s="64"/>
      <c r="F18" s="193" t="s">
        <v>31</v>
      </c>
      <c r="G18" s="66"/>
      <c r="H18" s="192"/>
      <c r="I18" s="193" t="s">
        <v>32</v>
      </c>
      <c r="J18" s="194"/>
      <c r="L18" s="192"/>
      <c r="M18" s="193" t="s">
        <v>5</v>
      </c>
      <c r="N18" s="194"/>
    </row>
    <row r="19" spans="4:14" ht="13.5" thickBot="1">
      <c r="D19" s="9"/>
      <c r="E19" s="9"/>
      <c r="F19" s="3"/>
      <c r="G19" s="62"/>
      <c r="H19" s="3"/>
      <c r="I19" s="3"/>
      <c r="J19" s="62"/>
      <c r="L19" s="3"/>
      <c r="M19" s="3"/>
      <c r="N19" s="62"/>
    </row>
    <row r="20" spans="4:14" ht="13.5" thickBot="1">
      <c r="D20" s="9"/>
      <c r="E20" s="202" t="s">
        <v>16</v>
      </c>
      <c r="F20" s="121" t="s">
        <v>47</v>
      </c>
      <c r="G20" s="195" t="s">
        <v>48</v>
      </c>
      <c r="H20" s="175" t="s">
        <v>16</v>
      </c>
      <c r="I20" s="121" t="s">
        <v>47</v>
      </c>
      <c r="J20" s="195" t="s">
        <v>48</v>
      </c>
      <c r="L20" s="175" t="s">
        <v>16</v>
      </c>
      <c r="M20" s="121" t="s">
        <v>47</v>
      </c>
      <c r="N20" s="195" t="s">
        <v>48</v>
      </c>
    </row>
    <row r="21" spans="4:10" ht="12.75">
      <c r="D21" s="9"/>
      <c r="E21" s="203"/>
      <c r="F21" s="3"/>
      <c r="G21" s="62"/>
      <c r="H21" s="196"/>
      <c r="I21" s="3"/>
      <c r="J21" s="62"/>
    </row>
    <row r="22" spans="3:14" ht="12.75">
      <c r="C22" s="120" t="s">
        <v>29</v>
      </c>
      <c r="D22" s="217" t="s">
        <v>84</v>
      </c>
      <c r="E22" s="222"/>
      <c r="F22" s="180"/>
      <c r="G22" s="181">
        <f>+FIC_st!L8</f>
        <v>35000</v>
      </c>
      <c r="H22" s="179"/>
      <c r="I22" s="180"/>
      <c r="J22" s="181">
        <f>+FIC_st!L9</f>
        <v>70000</v>
      </c>
      <c r="K22" s="110"/>
      <c r="L22" s="64"/>
      <c r="M22" s="192"/>
      <c r="N22" s="181">
        <f>G22+J22</f>
        <v>105000</v>
      </c>
    </row>
    <row r="23" spans="4:14" ht="12.75">
      <c r="D23" s="9"/>
      <c r="E23" s="203"/>
      <c r="F23" s="198"/>
      <c r="G23" s="199"/>
      <c r="H23" s="196"/>
      <c r="I23" s="198"/>
      <c r="J23" s="199"/>
      <c r="K23" s="110"/>
      <c r="L23" s="9"/>
      <c r="M23" s="3"/>
      <c r="N23" s="62"/>
    </row>
    <row r="24" spans="4:14" ht="12.75">
      <c r="D24" s="197" t="s">
        <v>57</v>
      </c>
      <c r="E24" s="203">
        <v>4500</v>
      </c>
      <c r="F24" s="198">
        <f>10*1.45</f>
        <v>14.5</v>
      </c>
      <c r="G24" s="199">
        <f>F24*E24</f>
        <v>65250</v>
      </c>
      <c r="H24" s="196">
        <v>2500</v>
      </c>
      <c r="I24" s="198">
        <f>+F24</f>
        <v>14.5</v>
      </c>
      <c r="J24" s="199">
        <f>+I24*H24</f>
        <v>36250</v>
      </c>
      <c r="K24" s="110"/>
      <c r="L24" s="203">
        <f>+H24+E24</f>
        <v>7000</v>
      </c>
      <c r="M24" s="3"/>
      <c r="N24" s="199">
        <f>+J24+G24</f>
        <v>101500</v>
      </c>
    </row>
    <row r="25" spans="4:14" ht="12.75">
      <c r="D25" s="9"/>
      <c r="E25" s="203"/>
      <c r="F25" s="198"/>
      <c r="G25" s="199"/>
      <c r="H25" s="196"/>
      <c r="I25" s="198"/>
      <c r="J25" s="199"/>
      <c r="K25" s="110"/>
      <c r="L25" s="9"/>
      <c r="M25" s="3"/>
      <c r="N25" s="62"/>
    </row>
    <row r="26" spans="4:14" ht="12.75">
      <c r="D26" s="197" t="s">
        <v>58</v>
      </c>
      <c r="E26" s="224">
        <f>FIC_st!F27</f>
        <v>800</v>
      </c>
      <c r="F26" s="198">
        <f>'info services'!I36</f>
        <v>9.005208333333334</v>
      </c>
      <c r="G26" s="199">
        <f>F26*E26</f>
        <v>7204.166666666667</v>
      </c>
      <c r="H26" s="225">
        <f>FIC_st!F42</f>
        <v>400</v>
      </c>
      <c r="I26" s="198">
        <f>F26</f>
        <v>9.005208333333334</v>
      </c>
      <c r="J26" s="199">
        <f>+I26*H26</f>
        <v>3602.0833333333335</v>
      </c>
      <c r="K26" s="110"/>
      <c r="L26" s="203">
        <f>+H26+E26</f>
        <v>1200</v>
      </c>
      <c r="M26" s="3"/>
      <c r="N26" s="199">
        <f>+J26+G26</f>
        <v>10806.25</v>
      </c>
    </row>
    <row r="27" spans="4:14" ht="12.75">
      <c r="D27" s="9"/>
      <c r="E27" s="203"/>
      <c r="F27" s="198"/>
      <c r="G27" s="199"/>
      <c r="H27" s="196"/>
      <c r="I27" s="198"/>
      <c r="J27" s="199"/>
      <c r="K27" s="110"/>
      <c r="L27" s="9"/>
      <c r="M27" s="3"/>
      <c r="N27" s="62"/>
    </row>
    <row r="28" spans="4:14" ht="12.75">
      <c r="D28" s="200" t="s">
        <v>59</v>
      </c>
      <c r="E28" s="204">
        <f>'info services'!J32</f>
        <v>450</v>
      </c>
      <c r="F28" s="182">
        <f>'info services'!J36</f>
        <v>24.0625</v>
      </c>
      <c r="G28" s="184">
        <f>F28*E28</f>
        <v>10828.125</v>
      </c>
      <c r="H28" s="201">
        <f>'info services'!J33</f>
        <v>250</v>
      </c>
      <c r="I28" s="182">
        <f>'info services'!J36</f>
        <v>24.0625</v>
      </c>
      <c r="J28" s="184">
        <f>+I28*H28</f>
        <v>6015.625</v>
      </c>
      <c r="K28" s="110"/>
      <c r="L28" s="204">
        <f>+H28+E28</f>
        <v>700</v>
      </c>
      <c r="M28" s="220"/>
      <c r="N28" s="184">
        <f>+J28+G28</f>
        <v>16843.75</v>
      </c>
    </row>
    <row r="29" spans="4:11" ht="12.75">
      <c r="D29" s="214"/>
      <c r="E29" s="215"/>
      <c r="F29" s="198"/>
      <c r="G29" s="199"/>
      <c r="H29" s="216"/>
      <c r="I29" s="198"/>
      <c r="J29" s="198"/>
      <c r="K29" s="110"/>
    </row>
    <row r="30" spans="4:14" ht="12.75">
      <c r="D30" s="217"/>
      <c r="E30" s="218"/>
      <c r="F30" s="180"/>
      <c r="G30" s="181"/>
      <c r="H30" s="219"/>
      <c r="I30" s="180"/>
      <c r="J30" s="181"/>
      <c r="K30" s="110"/>
      <c r="L30" s="64"/>
      <c r="M30" s="192"/>
      <c r="N30" s="66"/>
    </row>
    <row r="31" spans="2:14" ht="12.75">
      <c r="B31" s="120" t="s">
        <v>70</v>
      </c>
      <c r="D31" s="197" t="s">
        <v>74</v>
      </c>
      <c r="E31" s="215"/>
      <c r="F31" s="198"/>
      <c r="G31" s="199">
        <f>+N31*(E28/L28)</f>
        <v>9642.857142857143</v>
      </c>
      <c r="H31" s="216"/>
      <c r="I31" s="198"/>
      <c r="J31" s="199">
        <f>N31*(H28/L28)</f>
        <v>5357.142857142857</v>
      </c>
      <c r="K31" s="110"/>
      <c r="L31" s="9"/>
      <c r="M31" s="3"/>
      <c r="N31" s="62">
        <v>15000</v>
      </c>
    </row>
    <row r="32" spans="2:14" ht="12.75">
      <c r="B32" s="120" t="s">
        <v>71</v>
      </c>
      <c r="D32" s="197"/>
      <c r="E32" s="215"/>
      <c r="F32" s="198"/>
      <c r="G32" s="199"/>
      <c r="H32" s="216"/>
      <c r="I32" s="198"/>
      <c r="J32" s="199"/>
      <c r="K32" s="110"/>
      <c r="L32" s="9"/>
      <c r="M32" s="3"/>
      <c r="N32" s="62"/>
    </row>
    <row r="33" spans="2:14" ht="12.75">
      <c r="B33" s="120" t="s">
        <v>73</v>
      </c>
      <c r="D33" s="223" t="s">
        <v>75</v>
      </c>
      <c r="E33" s="215"/>
      <c r="F33" s="198"/>
      <c r="G33" s="199">
        <f>+N33*(E28/L28)</f>
        <v>-12857.142857142859</v>
      </c>
      <c r="H33" s="216"/>
      <c r="I33" s="198"/>
      <c r="J33" s="199">
        <f>N33*(H28/L28)</f>
        <v>-7142.857142857143</v>
      </c>
      <c r="K33" s="110"/>
      <c r="L33" s="9"/>
      <c r="M33" s="3"/>
      <c r="N33" s="62">
        <v>-20000</v>
      </c>
    </row>
    <row r="34" spans="2:14" ht="12.75">
      <c r="B34" s="221" t="s">
        <v>72</v>
      </c>
      <c r="D34" s="200"/>
      <c r="E34" s="204"/>
      <c r="F34" s="182"/>
      <c r="G34" s="184"/>
      <c r="H34" s="201"/>
      <c r="I34" s="182"/>
      <c r="J34" s="184"/>
      <c r="K34" s="110"/>
      <c r="L34" s="67"/>
      <c r="M34" s="220"/>
      <c r="N34" s="69"/>
    </row>
    <row r="35" spans="5:11" ht="13.5" thickBot="1">
      <c r="E35" s="203"/>
      <c r="F35" s="198"/>
      <c r="G35" s="199"/>
      <c r="H35" s="154"/>
      <c r="I35" s="110"/>
      <c r="J35" s="110"/>
      <c r="K35" s="110"/>
    </row>
    <row r="36" spans="4:14" ht="12.75">
      <c r="D36" s="185" t="s">
        <v>69</v>
      </c>
      <c r="E36" s="205">
        <v>800</v>
      </c>
      <c r="F36" s="187">
        <f>G36/E36</f>
        <v>143.8350074404762</v>
      </c>
      <c r="G36" s="206">
        <f>SUM(G22:G28)+SUM(G31:G33)</f>
        <v>115068.00595238096</v>
      </c>
      <c r="H36" s="186">
        <v>400</v>
      </c>
      <c r="I36" s="187">
        <f>J36/H36</f>
        <v>285.2049851190476</v>
      </c>
      <c r="J36" s="206">
        <f>SUM(J22:J28)+SUM(J31:J33)</f>
        <v>114081.99404761904</v>
      </c>
      <c r="K36" s="110"/>
      <c r="L36" s="7"/>
      <c r="M36" s="70"/>
      <c r="N36" s="206">
        <f>SUM(N22:N28)+SUM(N31:N33)</f>
        <v>229150</v>
      </c>
    </row>
    <row r="37" spans="4:14" ht="13.5" thickBot="1">
      <c r="D37" s="188"/>
      <c r="E37" s="207"/>
      <c r="F37" s="189"/>
      <c r="G37" s="191"/>
      <c r="H37" s="190"/>
      <c r="I37" s="189"/>
      <c r="J37" s="191"/>
      <c r="K37" s="110"/>
      <c r="L37" s="76"/>
      <c r="M37" s="8"/>
      <c r="N37" s="77"/>
    </row>
    <row r="38" spans="5:11" ht="12.75">
      <c r="E38" s="110"/>
      <c r="F38" s="110"/>
      <c r="G38" s="110"/>
      <c r="H38" s="154"/>
      <c r="I38" s="110"/>
      <c r="J38" s="110"/>
      <c r="K38" s="110"/>
    </row>
    <row r="39" spans="5:11" ht="12.75">
      <c r="E39" s="110"/>
      <c r="F39" s="110"/>
      <c r="G39" s="110"/>
      <c r="H39" s="154"/>
      <c r="I39" s="110"/>
      <c r="J39" s="110"/>
      <c r="K39" s="110"/>
    </row>
    <row r="40" spans="5:11" ht="12.75">
      <c r="E40" s="110"/>
      <c r="F40" s="110"/>
      <c r="G40" s="110"/>
      <c r="H40" s="154"/>
      <c r="I40" s="110"/>
      <c r="J40" s="110"/>
      <c r="K40" s="110"/>
    </row>
    <row r="41" spans="5:11" ht="12.75">
      <c r="E41" s="110"/>
      <c r="F41" s="246" t="s">
        <v>98</v>
      </c>
      <c r="G41" s="110"/>
      <c r="H41" s="154"/>
      <c r="I41" s="110"/>
      <c r="J41" s="110"/>
      <c r="K41" s="110"/>
    </row>
    <row r="42" spans="5:11" ht="12.75">
      <c r="E42" s="110"/>
      <c r="F42" s="110"/>
      <c r="G42" s="110"/>
      <c r="H42" s="154"/>
      <c r="I42" s="110"/>
      <c r="J42" s="110"/>
      <c r="K42" s="110"/>
    </row>
    <row r="43" spans="5:11" ht="12.75">
      <c r="E43" s="110"/>
      <c r="F43" s="110"/>
      <c r="G43" s="110"/>
      <c r="H43" s="110"/>
      <c r="I43" s="110"/>
      <c r="J43" s="110"/>
      <c r="K43" s="110"/>
    </row>
    <row r="44" spans="4:14" ht="12.75">
      <c r="D44" s="64"/>
      <c r="E44" s="64"/>
      <c r="F44" s="193" t="s">
        <v>31</v>
      </c>
      <c r="G44" s="66"/>
      <c r="H44" s="192"/>
      <c r="I44" s="193" t="s">
        <v>32</v>
      </c>
      <c r="J44" s="194"/>
      <c r="L44" s="192"/>
      <c r="M44" s="193" t="s">
        <v>5</v>
      </c>
      <c r="N44" s="194"/>
    </row>
    <row r="45" spans="4:14" ht="13.5" thickBot="1">
      <c r="D45" s="9"/>
      <c r="E45" s="9"/>
      <c r="F45" s="3"/>
      <c r="G45" s="62"/>
      <c r="H45" s="3"/>
      <c r="I45" s="3"/>
      <c r="J45" s="62"/>
      <c r="L45" s="3"/>
      <c r="M45" s="3"/>
      <c r="N45" s="62"/>
    </row>
    <row r="46" spans="4:14" ht="13.5" thickBot="1">
      <c r="D46" s="9"/>
      <c r="E46" s="202" t="s">
        <v>16</v>
      </c>
      <c r="F46" s="121" t="s">
        <v>47</v>
      </c>
      <c r="G46" s="195" t="s">
        <v>48</v>
      </c>
      <c r="H46" s="175" t="s">
        <v>16</v>
      </c>
      <c r="I46" s="121" t="s">
        <v>47</v>
      </c>
      <c r="J46" s="195" t="s">
        <v>48</v>
      </c>
      <c r="L46" s="175" t="s">
        <v>16</v>
      </c>
      <c r="M46" s="121" t="s">
        <v>47</v>
      </c>
      <c r="N46" s="195" t="s">
        <v>48</v>
      </c>
    </row>
    <row r="47" spans="4:10" ht="12.75">
      <c r="D47" s="9"/>
      <c r="E47" s="203"/>
      <c r="F47" s="3"/>
      <c r="G47" s="62"/>
      <c r="H47" s="196"/>
      <c r="I47" s="3"/>
      <c r="J47" s="62"/>
    </row>
    <row r="48" spans="4:14" ht="12.75">
      <c r="D48" s="232" t="s">
        <v>17</v>
      </c>
      <c r="E48" s="242">
        <v>700</v>
      </c>
      <c r="F48" s="233">
        <f>+G48/E48</f>
        <v>142.4651502267574</v>
      </c>
      <c r="G48" s="233">
        <f>FIC_st!L25</f>
        <v>99725.60515873018</v>
      </c>
      <c r="H48" s="242">
        <v>300</v>
      </c>
      <c r="I48" s="233">
        <f>+J48/H48</f>
        <v>278.4143902352607</v>
      </c>
      <c r="J48" s="233">
        <f>FIC_st!L40</f>
        <v>83524.31707057822</v>
      </c>
      <c r="K48" s="233"/>
      <c r="L48" s="234"/>
      <c r="M48" s="234"/>
      <c r="N48" s="241">
        <f>+J48+G48</f>
        <v>183249.9222293084</v>
      </c>
    </row>
    <row r="49" spans="5:11" ht="12.75">
      <c r="E49" s="110"/>
      <c r="F49" s="110"/>
      <c r="G49" s="110"/>
      <c r="H49" s="110"/>
      <c r="I49" s="110"/>
      <c r="J49" s="110"/>
      <c r="K49" s="110"/>
    </row>
    <row r="50" spans="4:15" ht="25.5">
      <c r="D50" s="247" t="s">
        <v>85</v>
      </c>
      <c r="E50" s="180">
        <f>+'info services'!L32</f>
        <v>210000</v>
      </c>
      <c r="F50" s="180">
        <f>+'info services'!L36</f>
        <v>0.7017613636363637</v>
      </c>
      <c r="G50" s="180">
        <f>+E50*F50</f>
        <v>147369.88636363638</v>
      </c>
      <c r="H50" s="180">
        <f>'info services'!L33</f>
        <v>120000</v>
      </c>
      <c r="I50" s="180">
        <f>F50</f>
        <v>0.7017613636363637</v>
      </c>
      <c r="J50" s="180">
        <f>+H50*I50</f>
        <v>84211.36363636363</v>
      </c>
      <c r="K50" s="180"/>
      <c r="L50" s="192"/>
      <c r="M50" s="192"/>
      <c r="N50" s="181">
        <f>J50+G50</f>
        <v>231581.25</v>
      </c>
      <c r="O50" s="248">
        <f>+N50/N54</f>
        <v>0.7017613636363637</v>
      </c>
    </row>
    <row r="51" spans="4:14" ht="12.75">
      <c r="D51" s="9"/>
      <c r="E51" s="198"/>
      <c r="F51" s="198"/>
      <c r="G51" s="198"/>
      <c r="H51" s="198"/>
      <c r="I51" s="198"/>
      <c r="J51" s="198"/>
      <c r="K51" s="198"/>
      <c r="L51" s="3"/>
      <c r="M51" s="3"/>
      <c r="N51" s="62"/>
    </row>
    <row r="52" spans="4:14" ht="12.75">
      <c r="D52" s="217" t="s">
        <v>88</v>
      </c>
      <c r="E52" s="179">
        <f>+E48</f>
        <v>700</v>
      </c>
      <c r="F52" s="180">
        <f>+G52/E52</f>
        <v>352.9935593176665</v>
      </c>
      <c r="G52" s="180">
        <f>+G50+G48</f>
        <v>247095.49152236656</v>
      </c>
      <c r="H52" s="179">
        <f>+H48</f>
        <v>300</v>
      </c>
      <c r="I52" s="180">
        <f>+J52/H52</f>
        <v>559.1189356898062</v>
      </c>
      <c r="J52" s="180">
        <f>+J50+J48</f>
        <v>167735.68070694187</v>
      </c>
      <c r="K52" s="180"/>
      <c r="L52" s="192"/>
      <c r="M52" s="192"/>
      <c r="N52" s="181">
        <f>J52+G52</f>
        <v>414831.1722293084</v>
      </c>
    </row>
    <row r="53" spans="4:14" ht="12.75">
      <c r="D53" s="67"/>
      <c r="E53" s="182"/>
      <c r="F53" s="182"/>
      <c r="G53" s="182"/>
      <c r="H53" s="183"/>
      <c r="I53" s="182"/>
      <c r="J53" s="182"/>
      <c r="K53" s="182"/>
      <c r="L53" s="220"/>
      <c r="M53" s="220"/>
      <c r="N53" s="69"/>
    </row>
    <row r="54" spans="3:15" ht="25.5">
      <c r="C54" s="120" t="s">
        <v>90</v>
      </c>
      <c r="D54" s="217" t="s">
        <v>89</v>
      </c>
      <c r="E54" s="179">
        <v>700</v>
      </c>
      <c r="F54" s="180">
        <v>300</v>
      </c>
      <c r="G54" s="180">
        <f>+F54*E54</f>
        <v>210000</v>
      </c>
      <c r="H54" s="179">
        <v>300</v>
      </c>
      <c r="I54" s="180">
        <v>400</v>
      </c>
      <c r="J54" s="180">
        <f>I54*H54</f>
        <v>120000</v>
      </c>
      <c r="K54" s="180"/>
      <c r="L54" s="192"/>
      <c r="M54" s="192"/>
      <c r="N54" s="181">
        <f>J54+G54</f>
        <v>330000</v>
      </c>
      <c r="O54" s="249">
        <v>100</v>
      </c>
    </row>
    <row r="55" spans="4:14" ht="12.75">
      <c r="D55" s="67"/>
      <c r="E55" s="183"/>
      <c r="F55" s="182"/>
      <c r="G55" s="182"/>
      <c r="H55" s="183"/>
      <c r="I55" s="182"/>
      <c r="J55" s="182"/>
      <c r="K55" s="182"/>
      <c r="L55" s="220"/>
      <c r="M55" s="220"/>
      <c r="N55" s="69"/>
    </row>
    <row r="56" spans="4:14" ht="12.75">
      <c r="D56" s="9"/>
      <c r="E56" s="196"/>
      <c r="F56" s="198"/>
      <c r="G56" s="198"/>
      <c r="H56" s="196"/>
      <c r="I56" s="198"/>
      <c r="J56" s="198"/>
      <c r="K56" s="198"/>
      <c r="L56" s="3"/>
      <c r="M56" s="3"/>
      <c r="N56" s="62"/>
    </row>
    <row r="57" spans="3:14" ht="12.75">
      <c r="C57" s="120" t="s">
        <v>92</v>
      </c>
      <c r="D57" s="197" t="s">
        <v>91</v>
      </c>
      <c r="E57" s="196">
        <v>700</v>
      </c>
      <c r="F57" s="198">
        <f>G57/E57</f>
        <v>-52.99355931766652</v>
      </c>
      <c r="G57" s="198">
        <f>+G54-G52</f>
        <v>-37095.49152236656</v>
      </c>
      <c r="H57" s="196">
        <v>300</v>
      </c>
      <c r="I57" s="198">
        <f>J57/H57</f>
        <v>-159.11893568980625</v>
      </c>
      <c r="J57" s="198">
        <f>+J54-J52</f>
        <v>-47735.68070694187</v>
      </c>
      <c r="K57" s="198"/>
      <c r="L57" s="3"/>
      <c r="M57" s="3"/>
      <c r="N57" s="244">
        <f>J57+G57</f>
        <v>-84831.17222930843</v>
      </c>
    </row>
    <row r="58" spans="4:14" ht="12.75">
      <c r="D58" s="9"/>
      <c r="E58" s="196"/>
      <c r="F58" s="198"/>
      <c r="G58" s="198"/>
      <c r="H58" s="196"/>
      <c r="I58" s="198"/>
      <c r="J58" s="198"/>
      <c r="K58" s="198"/>
      <c r="L58" s="3"/>
      <c r="M58" s="3"/>
      <c r="N58" s="62"/>
    </row>
    <row r="59" spans="4:14" ht="12.75">
      <c r="D59" s="200" t="s">
        <v>93</v>
      </c>
      <c r="E59" s="183"/>
      <c r="F59" s="243">
        <f>+F57/F54</f>
        <v>-0.17664519772555506</v>
      </c>
      <c r="G59" s="220"/>
      <c r="H59" s="183"/>
      <c r="I59" s="243">
        <f>I57/I54</f>
        <v>-0.3977973392245156</v>
      </c>
      <c r="J59" s="220"/>
      <c r="K59" s="220"/>
      <c r="L59" s="220"/>
      <c r="M59" s="220"/>
      <c r="N59" s="69"/>
    </row>
    <row r="60" ht="12.75">
      <c r="H60" s="154"/>
    </row>
    <row r="63" ht="12.75">
      <c r="D63" s="120" t="s">
        <v>99</v>
      </c>
    </row>
    <row r="65" ht="12.75">
      <c r="D65" s="120" t="s">
        <v>100</v>
      </c>
    </row>
    <row r="67" ht="12.75">
      <c r="D67" s="120" t="s">
        <v>102</v>
      </c>
    </row>
    <row r="68" ht="12.75">
      <c r="D68" s="120" t="s">
        <v>103</v>
      </c>
    </row>
    <row r="70" ht="12.75">
      <c r="D70" s="12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cp:lastPrinted>2005-05-16T21:59:25Z</cp:lastPrinted>
  <dcterms:created xsi:type="dcterms:W3CDTF">2005-05-16T14:42:33Z</dcterms:created>
  <dcterms:modified xsi:type="dcterms:W3CDTF">2017-03-05T14:48:18Z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