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240" windowHeight="7560" firstSheet="1" activeTab="4"/>
  </bookViews>
  <sheets>
    <sheet name="bud_comm" sheetId="1" r:id="rId1"/>
    <sheet name="pr_prod" sheetId="2" r:id="rId2"/>
    <sheet name="pr_appro" sheetId="3" r:id="rId3"/>
    <sheet name="BUDG_ACHATS" sheetId="4" r:id="rId4"/>
    <sheet name="FSTOCKS" sheetId="5" r:id="rId5"/>
    <sheet name="COUT_prod" sheetId="6" r:id="rId6"/>
    <sheet name="budget_treso" sheetId="7" r:id="rId7"/>
    <sheet name="cr" sheetId="8" r:id="rId8"/>
    <sheet name="bilan" sheetId="9" r:id="rId9"/>
    <sheet name="Feuil1" sheetId="10" r:id="rId10"/>
  </sheets>
  <calcPr calcId="145621"/>
</workbook>
</file>

<file path=xl/calcChain.xml><?xml version="1.0" encoding="utf-8"?>
<calcChain xmlns="http://schemas.openxmlformats.org/spreadsheetml/2006/main">
  <c r="E30" i="6" l="1"/>
  <c r="G30" i="6" s="1"/>
  <c r="G37" i="6" s="1"/>
  <c r="G38" i="6" s="1"/>
  <c r="F30" i="6"/>
  <c r="F37" i="6" s="1"/>
  <c r="F38" i="6" s="1"/>
  <c r="E31" i="6"/>
  <c r="G31" i="6"/>
  <c r="G32" i="6"/>
  <c r="G33" i="6"/>
  <c r="G35" i="6"/>
  <c r="F5" i="6"/>
  <c r="H5" i="6"/>
  <c r="F6" i="6"/>
  <c r="H6" i="6"/>
  <c r="F7" i="6"/>
  <c r="H7" i="6"/>
  <c r="D52" i="4"/>
  <c r="J52" i="4" s="1"/>
  <c r="F52" i="4"/>
  <c r="D53" i="4"/>
  <c r="F53" i="4"/>
  <c r="J53" i="4"/>
  <c r="D58" i="4"/>
  <c r="F58" i="4"/>
  <c r="J58" i="4"/>
  <c r="D60" i="4"/>
  <c r="F60" i="4" s="1"/>
  <c r="F63" i="4" s="1"/>
  <c r="D65" i="4"/>
  <c r="F65" i="4"/>
  <c r="J65" i="4"/>
  <c r="D66" i="4"/>
  <c r="F66" i="4" s="1"/>
  <c r="D67" i="4"/>
  <c r="F67" i="4"/>
  <c r="J43" i="4"/>
  <c r="J48" i="4" s="1"/>
  <c r="L48" i="4" s="1"/>
  <c r="J44" i="4"/>
  <c r="D14" i="3"/>
  <c r="G14" i="3" s="1"/>
  <c r="I14" i="3" s="1"/>
  <c r="F14" i="3"/>
  <c r="H15" i="3"/>
  <c r="D19" i="3"/>
  <c r="F19" i="3" s="1"/>
  <c r="F25" i="3" s="1"/>
  <c r="E20" i="3"/>
  <c r="H20" i="3" s="1"/>
  <c r="E37" i="6" l="1"/>
  <c r="E38" i="6" s="1"/>
  <c r="J63" i="4"/>
  <c r="F69" i="4"/>
  <c r="H69" i="4" s="1"/>
  <c r="J60" i="4"/>
  <c r="J69" i="4" s="1"/>
  <c r="L69" i="4" s="1"/>
  <c r="J66" i="4"/>
  <c r="G19" i="3"/>
  <c r="I19" i="3" s="1"/>
  <c r="I25" i="3" s="1"/>
  <c r="D58" i="6"/>
  <c r="D56" i="6"/>
  <c r="E56" i="6" s="1"/>
  <c r="J73" i="6"/>
  <c r="D73" i="6"/>
  <c r="C73" i="6"/>
  <c r="J68" i="6"/>
  <c r="I68" i="6"/>
  <c r="H68" i="6"/>
  <c r="F67" i="6"/>
  <c r="E67" i="6"/>
  <c r="G67" i="6"/>
  <c r="D68" i="6"/>
  <c r="D67" i="6"/>
  <c r="H61" i="6"/>
  <c r="J61" i="6" s="1"/>
  <c r="E60" i="6"/>
  <c r="G60" i="6"/>
  <c r="K37" i="5"/>
  <c r="K32" i="5"/>
  <c r="I32" i="5"/>
  <c r="J32" i="5"/>
  <c r="K30" i="5"/>
  <c r="K16" i="5"/>
  <c r="J12" i="5"/>
  <c r="K12" i="5" s="1"/>
  <c r="I12" i="5"/>
  <c r="K10" i="5"/>
  <c r="I16" i="5"/>
  <c r="J96" i="4"/>
  <c r="J94" i="4"/>
  <c r="H99" i="4"/>
  <c r="G46" i="6"/>
  <c r="F46" i="6"/>
  <c r="G45" i="6"/>
  <c r="F42" i="6"/>
  <c r="G42" i="6"/>
  <c r="E42" i="6"/>
  <c r="J52" i="1"/>
  <c r="J49" i="1"/>
  <c r="F49" i="1"/>
  <c r="J46" i="1"/>
  <c r="H45" i="1"/>
  <c r="H44" i="1"/>
  <c r="F45" i="1"/>
  <c r="H43" i="1"/>
  <c r="J40" i="1"/>
  <c r="H58" i="6" l="1"/>
  <c r="J58" i="6" s="1"/>
  <c r="E57" i="6"/>
  <c r="G57" i="6" s="1"/>
  <c r="H56" i="6"/>
  <c r="J56" i="6" s="1"/>
  <c r="G56" i="6"/>
  <c r="J11" i="4"/>
  <c r="H11" i="4"/>
  <c r="G11" i="4"/>
  <c r="C58" i="4"/>
  <c r="C61" i="4"/>
  <c r="B61" i="4"/>
  <c r="C59" i="4"/>
  <c r="C76" i="4"/>
  <c r="C77" i="4" s="1"/>
  <c r="D77" i="4" s="1"/>
  <c r="D92" i="4"/>
  <c r="F92" i="4" s="1"/>
  <c r="D91" i="4"/>
  <c r="F91" i="4" s="1"/>
  <c r="D90" i="4"/>
  <c r="F90" i="4" s="1"/>
  <c r="D88" i="4"/>
  <c r="F88" i="4" s="1"/>
  <c r="D87" i="4"/>
  <c r="F87" i="4" s="1"/>
  <c r="E77" i="4"/>
  <c r="E81" i="4" s="1"/>
  <c r="C80" i="4"/>
  <c r="C81" i="4" s="1"/>
  <c r="D81" i="4" s="1"/>
  <c r="F46" i="7"/>
  <c r="I41" i="7"/>
  <c r="H41" i="7"/>
  <c r="G41" i="7"/>
  <c r="I39" i="7"/>
  <c r="H39" i="7"/>
  <c r="G39" i="7"/>
  <c r="I37" i="7"/>
  <c r="H37" i="7"/>
  <c r="G37" i="7"/>
  <c r="I35" i="7"/>
  <c r="H35" i="7"/>
  <c r="G35" i="7"/>
  <c r="F43" i="7"/>
  <c r="H16" i="7"/>
  <c r="I16" i="7"/>
  <c r="G16" i="7"/>
  <c r="F16" i="7"/>
  <c r="J12" i="7"/>
  <c r="I12" i="7"/>
  <c r="H12" i="7"/>
  <c r="G12" i="7"/>
  <c r="P36" i="5"/>
  <c r="P34" i="5"/>
  <c r="K94" i="4"/>
  <c r="L94" i="4" s="1"/>
  <c r="Q36" i="5" s="1"/>
  <c r="E38" i="5"/>
  <c r="J63" i="6" l="1"/>
  <c r="H63" i="6" s="1"/>
  <c r="G63" i="6"/>
  <c r="J81" i="4"/>
  <c r="F81" i="4"/>
  <c r="J77" i="4"/>
  <c r="F77" i="4"/>
  <c r="F94" i="4"/>
  <c r="J87" i="4"/>
  <c r="J88" i="4"/>
  <c r="E17" i="5"/>
  <c r="P15" i="5"/>
  <c r="J10" i="5"/>
  <c r="J14" i="5"/>
  <c r="K98" i="4"/>
  <c r="F35" i="5" s="1"/>
  <c r="G35" i="5" s="1"/>
  <c r="I90" i="5"/>
  <c r="I86" i="5"/>
  <c r="I68" i="5"/>
  <c r="J66" i="5"/>
  <c r="I66" i="5"/>
  <c r="K66" i="5"/>
  <c r="K64" i="5"/>
  <c r="J64" i="5"/>
  <c r="J84" i="5"/>
  <c r="K84" i="5"/>
  <c r="K82" i="5"/>
  <c r="J82" i="5"/>
  <c r="K80" i="5"/>
  <c r="J80" i="5"/>
  <c r="I84" i="5"/>
  <c r="I82" i="5"/>
  <c r="I64" i="5"/>
  <c r="K62" i="5"/>
  <c r="J62" i="5"/>
  <c r="F84" i="5"/>
  <c r="F66" i="5"/>
  <c r="E84" i="5"/>
  <c r="E66" i="5"/>
  <c r="G66" i="5"/>
  <c r="G84" i="5"/>
  <c r="G82" i="5"/>
  <c r="G64" i="5"/>
  <c r="G80" i="5"/>
  <c r="G62" i="5"/>
  <c r="K14" i="5"/>
  <c r="I37" i="5"/>
  <c r="I30" i="5"/>
  <c r="E37" i="5"/>
  <c r="J16" i="5"/>
  <c r="F16" i="5"/>
  <c r="E16" i="5"/>
  <c r="G16" i="5"/>
  <c r="G14" i="5"/>
  <c r="F97" i="5"/>
  <c r="G30" i="5"/>
  <c r="G10" i="5"/>
  <c r="F111" i="4"/>
  <c r="F110" i="4"/>
  <c r="K133" i="4"/>
  <c r="J133" i="4"/>
  <c r="K131" i="4"/>
  <c r="G133" i="4"/>
  <c r="J135" i="4" s="1"/>
  <c r="L124" i="4"/>
  <c r="L123" i="4"/>
  <c r="L125" i="4" s="1"/>
  <c r="O125" i="4" s="1"/>
  <c r="J129" i="4"/>
  <c r="L129" i="4" s="1"/>
  <c r="F129" i="4"/>
  <c r="H129" i="4" s="1"/>
  <c r="J123" i="4"/>
  <c r="K113" i="4"/>
  <c r="J111" i="4"/>
  <c r="J114" i="4" s="1"/>
  <c r="J75" i="6" l="1"/>
  <c r="E63" i="6"/>
  <c r="G69" i="6"/>
  <c r="F85" i="4"/>
  <c r="P14" i="5" s="1"/>
  <c r="L133" i="4"/>
  <c r="J85" i="4"/>
  <c r="P35" i="5" s="1"/>
  <c r="J30" i="5"/>
  <c r="J35" i="5"/>
  <c r="G37" i="5"/>
  <c r="B14" i="5"/>
  <c r="I18" i="5"/>
  <c r="G72" i="6" l="1"/>
  <c r="G75" i="6" s="1"/>
  <c r="G79" i="6" s="1"/>
  <c r="D72" i="6"/>
  <c r="L85" i="4"/>
  <c r="Q35" i="5" s="1"/>
  <c r="F37" i="5"/>
  <c r="E33" i="4"/>
  <c r="C33" i="4"/>
  <c r="H85" i="4"/>
  <c r="G94" i="4"/>
  <c r="H94" i="4" s="1"/>
  <c r="F24" i="4"/>
  <c r="D44" i="4"/>
  <c r="D43" i="4"/>
  <c r="E30" i="2"/>
  <c r="D47" i="2"/>
  <c r="D39" i="2"/>
  <c r="E32" i="2"/>
  <c r="E33" i="2"/>
  <c r="F29" i="3"/>
  <c r="L96" i="4" l="1"/>
  <c r="O94" i="4"/>
  <c r="J33" i="7" s="1"/>
  <c r="Q15" i="5"/>
  <c r="O85" i="4"/>
  <c r="I33" i="7" s="1"/>
  <c r="I43" i="7" s="1"/>
  <c r="I46" i="7" s="1"/>
  <c r="Q14" i="5"/>
  <c r="K35" i="5"/>
  <c r="J31" i="4"/>
  <c r="L32" i="4" s="1"/>
  <c r="L33" i="4" s="1"/>
  <c r="J113" i="4"/>
  <c r="J115" i="4" s="1"/>
  <c r="F26" i="4"/>
  <c r="H96" i="4"/>
  <c r="J26" i="4"/>
  <c r="P30" i="5"/>
  <c r="P37" i="5" s="1"/>
  <c r="F43" i="4"/>
  <c r="F44" i="4"/>
  <c r="I29" i="3"/>
  <c r="J24" i="4" s="1"/>
  <c r="L24" i="4" s="1"/>
  <c r="L26" i="4" s="1"/>
  <c r="F27" i="2"/>
  <c r="F22" i="2"/>
  <c r="F17" i="2"/>
  <c r="E22" i="2"/>
  <c r="E17" i="2"/>
  <c r="E27" i="2"/>
  <c r="F117" i="4" l="1"/>
  <c r="O96" i="4"/>
  <c r="N30" i="5"/>
  <c r="M30" i="5" s="1"/>
  <c r="N34" i="5"/>
  <c r="N36" i="5"/>
  <c r="N35" i="5"/>
  <c r="Q34" i="5"/>
  <c r="I39" i="5"/>
  <c r="F113" i="4"/>
  <c r="F115" i="4" s="1"/>
  <c r="J32" i="4"/>
  <c r="J117" i="4"/>
  <c r="O117" i="4" s="1"/>
  <c r="J28" i="4"/>
  <c r="F28" i="4"/>
  <c r="J71" i="4"/>
  <c r="J72" i="4" s="1"/>
  <c r="F48" i="4"/>
  <c r="P10" i="5" s="1"/>
  <c r="M13" i="1"/>
  <c r="H14" i="1"/>
  <c r="K14" i="1"/>
  <c r="M14" i="1" s="1"/>
  <c r="O14" i="1" s="1"/>
  <c r="M16" i="1"/>
  <c r="H17" i="1"/>
  <c r="K17" i="1"/>
  <c r="M17" i="1" s="1"/>
  <c r="O17" i="1" s="1"/>
  <c r="M19" i="1"/>
  <c r="F20" i="1"/>
  <c r="H20" i="1"/>
  <c r="K20" i="1"/>
  <c r="M20" i="1"/>
  <c r="M22" i="1"/>
  <c r="F23" i="1"/>
  <c r="H23" i="1" s="1"/>
  <c r="K23" i="1"/>
  <c r="M23" i="1" s="1"/>
  <c r="J26" i="1"/>
  <c r="M26" i="1" s="1"/>
  <c r="M30" i="1" s="1"/>
  <c r="K30" i="1" s="1"/>
  <c r="K26" i="1"/>
  <c r="L26" i="1"/>
  <c r="E27" i="1"/>
  <c r="F27" i="1"/>
  <c r="F30" i="1" s="1"/>
  <c r="H27" i="1"/>
  <c r="J27" i="1"/>
  <c r="K27" i="1"/>
  <c r="L27" i="1"/>
  <c r="M27" i="1"/>
  <c r="M34" i="5" l="1"/>
  <c r="M35" i="5" s="1"/>
  <c r="M36" i="5" s="1"/>
  <c r="O69" i="4"/>
  <c r="H33" i="7" s="1"/>
  <c r="H43" i="7" s="1"/>
  <c r="H46" i="7" s="1"/>
  <c r="H51" i="7" s="1"/>
  <c r="P13" i="5"/>
  <c r="P16" i="5" s="1"/>
  <c r="L71" i="4"/>
  <c r="Q30" i="5"/>
  <c r="Q37" i="5" s="1"/>
  <c r="F118" i="4"/>
  <c r="H48" i="4"/>
  <c r="F31" i="4"/>
  <c r="F32" i="4" s="1"/>
  <c r="E11" i="4" s="1"/>
  <c r="E14" i="4" s="1"/>
  <c r="E15" i="4" s="1"/>
  <c r="F96" i="4"/>
  <c r="F34" i="4"/>
  <c r="F71" i="4"/>
  <c r="O23" i="1"/>
  <c r="O20" i="1"/>
  <c r="F98" i="4" l="1"/>
  <c r="F97" i="4"/>
  <c r="N10" i="5"/>
  <c r="M10" i="5" s="1"/>
  <c r="N15" i="5"/>
  <c r="N13" i="5"/>
  <c r="N14" i="5"/>
  <c r="O48" i="4"/>
  <c r="G33" i="7" s="1"/>
  <c r="G43" i="7" s="1"/>
  <c r="G46" i="7" s="1"/>
  <c r="Q10" i="5"/>
  <c r="F121" i="4"/>
  <c r="F123" i="4" s="1"/>
  <c r="F124" i="4" s="1"/>
  <c r="H71" i="4"/>
  <c r="O71" i="4" s="1"/>
  <c r="P72" i="4" s="1"/>
  <c r="O27" i="1"/>
  <c r="O30" i="1" s="1"/>
  <c r="J121" i="4"/>
  <c r="M13" i="5" l="1"/>
  <c r="M14" i="5" s="1"/>
  <c r="M15" i="5" s="1"/>
  <c r="H98" i="4"/>
  <c r="H100" i="4" s="1"/>
  <c r="H101" i="4" s="1"/>
  <c r="Q13" i="5"/>
  <c r="Q16" i="5" s="1"/>
  <c r="G98" i="4" l="1"/>
  <c r="O98" i="4"/>
  <c r="P71" i="4" l="1"/>
  <c r="Q72" i="4"/>
  <c r="P69" i="4"/>
</calcChain>
</file>

<file path=xl/sharedStrings.xml><?xml version="1.0" encoding="utf-8"?>
<sst xmlns="http://schemas.openxmlformats.org/spreadsheetml/2006/main" count="358" uniqueCount="218">
  <si>
    <t>P</t>
  </si>
  <si>
    <t>Q</t>
  </si>
  <si>
    <t>PU</t>
  </si>
  <si>
    <t>%</t>
  </si>
  <si>
    <t xml:space="preserve">T </t>
  </si>
  <si>
    <t xml:space="preserve">T1 </t>
  </si>
  <si>
    <t>RESTE AN</t>
  </si>
  <si>
    <t xml:space="preserve">NORD EST </t>
  </si>
  <si>
    <t>énoncé</t>
  </si>
  <si>
    <t xml:space="preserve">plafond </t>
  </si>
  <si>
    <t>1T 3T</t>
  </si>
  <si>
    <t>plafond</t>
  </si>
  <si>
    <t xml:space="preserve">énoncé </t>
  </si>
  <si>
    <t>IDF</t>
  </si>
  <si>
    <t xml:space="preserve">SUD EST </t>
  </si>
  <si>
    <t xml:space="preserve">SUD OUEST </t>
  </si>
  <si>
    <t>TOT France</t>
  </si>
  <si>
    <t xml:space="preserve">PRIX MOYEN </t>
  </si>
  <si>
    <t>NA</t>
  </si>
  <si>
    <t xml:space="preserve">MOYENNE TRIM </t>
  </si>
  <si>
    <t xml:space="preserve">VENTES </t>
  </si>
  <si>
    <t>SF</t>
  </si>
  <si>
    <t xml:space="preserve">- SI </t>
  </si>
  <si>
    <t>capacité prod</t>
  </si>
  <si>
    <t>PRODUCTION</t>
  </si>
  <si>
    <t xml:space="preserve">= BESOINS BRUTS </t>
  </si>
  <si>
    <t>A PRODUIRE MAX</t>
  </si>
  <si>
    <t xml:space="preserve">MAIS </t>
  </si>
  <si>
    <t xml:space="preserve">PROGRAMME APPRO </t>
  </si>
  <si>
    <t xml:space="preserve">A </t>
  </si>
  <si>
    <t>B</t>
  </si>
  <si>
    <t xml:space="preserve">CONSO </t>
  </si>
  <si>
    <t>UNIT</t>
  </si>
  <si>
    <t>TOTAL</t>
  </si>
  <si>
    <t>ENONCE</t>
  </si>
  <si>
    <t xml:space="preserve">POUR P </t>
  </si>
  <si>
    <t>POUR Q</t>
  </si>
  <si>
    <t xml:space="preserve">+ SF </t>
  </si>
  <si>
    <t xml:space="preserve">SI + E = S + SF </t>
  </si>
  <si>
    <t>S + SF - SI = E</t>
  </si>
  <si>
    <t xml:space="preserve">ET S + SF = BESOINS BRUTS </t>
  </si>
  <si>
    <t>= ACHATS</t>
  </si>
  <si>
    <t>budget achats par trimestres</t>
  </si>
  <si>
    <t>Q/U</t>
  </si>
  <si>
    <t>P/U</t>
  </si>
  <si>
    <t>MAT</t>
  </si>
  <si>
    <t>A</t>
  </si>
  <si>
    <t>T1</t>
  </si>
  <si>
    <t xml:space="preserve">T2 </t>
  </si>
  <si>
    <t xml:space="preserve">T3 </t>
  </si>
  <si>
    <t>T4</t>
  </si>
  <si>
    <t>SAISO P</t>
  </si>
  <si>
    <t>SAISO Q</t>
  </si>
  <si>
    <t>TOTAL GEN</t>
  </si>
  <si>
    <t xml:space="preserve">SAISO P </t>
  </si>
  <si>
    <t>60 % Achats de N+1</t>
  </si>
  <si>
    <t xml:space="preserve">stocks </t>
  </si>
  <si>
    <t>0,6 de 500 P</t>
  </si>
  <si>
    <t>0,6 de 50 Q</t>
  </si>
  <si>
    <t xml:space="preserve">0,6 de hausse de A </t>
  </si>
  <si>
    <t>T3</t>
  </si>
  <si>
    <t xml:space="preserve">TOTAL S1 </t>
  </si>
  <si>
    <t>= TOTAL T1</t>
  </si>
  <si>
    <t xml:space="preserve">= TOTAL T2 </t>
  </si>
  <si>
    <t>kg</t>
  </si>
  <si>
    <t>PROGRAMME APPRO</t>
  </si>
  <si>
    <t>60 % ACHATS EN S1</t>
  </si>
  <si>
    <t>(pour profiter prix S1 &lt; à celui du S2)</t>
  </si>
  <si>
    <t xml:space="preserve">ANNUEL </t>
  </si>
  <si>
    <t>SOLDE S2</t>
  </si>
  <si>
    <t xml:space="preserve">TOTAL S2 </t>
  </si>
  <si>
    <t xml:space="preserve">TOTAL ANNUEL </t>
  </si>
  <si>
    <t>RAISONN</t>
  </si>
  <si>
    <t xml:space="preserve">COUPE </t>
  </si>
  <si>
    <t>EN SEM</t>
  </si>
  <si>
    <t xml:space="preserve">EN </t>
  </si>
  <si>
    <t xml:space="preserve">TRIM </t>
  </si>
  <si>
    <t>avec saiso P et Q</t>
  </si>
  <si>
    <t xml:space="preserve">= S1 - T1 </t>
  </si>
  <si>
    <t xml:space="preserve">T4 </t>
  </si>
  <si>
    <t xml:space="preserve">= S2 - T3 </t>
  </si>
  <si>
    <t xml:space="preserve">calcul à faire </t>
  </si>
  <si>
    <t>SI</t>
  </si>
  <si>
    <t>T4 N+1</t>
  </si>
  <si>
    <t>T1 N+1</t>
  </si>
  <si>
    <t>degonfl stock B perspect fin N+1</t>
  </si>
  <si>
    <t xml:space="preserve">achats T1 </t>
  </si>
  <si>
    <t>var st N+1</t>
  </si>
  <si>
    <t xml:space="preserve">achats T2 </t>
  </si>
  <si>
    <t xml:space="preserve">= achats nets </t>
  </si>
  <si>
    <t>= achats nets T2</t>
  </si>
  <si>
    <t xml:space="preserve">VERIF T1 + T2 </t>
  </si>
  <si>
    <t>OK</t>
  </si>
  <si>
    <t>CIBLE S1</t>
  </si>
  <si>
    <t xml:space="preserve"> 60 % achats an N+1</t>
  </si>
  <si>
    <t>REEL</t>
  </si>
  <si>
    <t xml:space="preserve">POLITIQUE </t>
  </si>
  <si>
    <t>N+1</t>
  </si>
  <si>
    <t xml:space="preserve">HYP IMPLICITES </t>
  </si>
  <si>
    <t xml:space="preserve">LE PROGRA APPRO EST MODIFIE PAR ANN 5 </t>
  </si>
  <si>
    <t>POURQUOI 500 P ????</t>
  </si>
  <si>
    <t xml:space="preserve">CAR MAX </t>
  </si>
  <si>
    <t xml:space="preserve">ET ON SERT Q EN PREMIER </t>
  </si>
  <si>
    <t>SF OBJECTIF</t>
  </si>
  <si>
    <t xml:space="preserve">ANN 5 </t>
  </si>
  <si>
    <t>ANN 9</t>
  </si>
  <si>
    <t>FICHE STOCK A</t>
  </si>
  <si>
    <t xml:space="preserve">SI </t>
  </si>
  <si>
    <t>E</t>
  </si>
  <si>
    <t>S</t>
  </si>
  <si>
    <t>FICHE STOCK B</t>
  </si>
  <si>
    <t>FICHE STOCK PRODUIT P</t>
  </si>
  <si>
    <t>FICHE STOCK PRODUIT Q</t>
  </si>
  <si>
    <t xml:space="preserve">VARIATION ST </t>
  </si>
  <si>
    <t xml:space="preserve">SI-SF </t>
  </si>
  <si>
    <t xml:space="preserve">SF-SI </t>
  </si>
  <si>
    <t>PRODUCTION STOCKEE</t>
  </si>
  <si>
    <t xml:space="preserve">HYP IMPLICITE </t>
  </si>
  <si>
    <t>CMUP = COUT DE PROD</t>
  </si>
  <si>
    <t>qtés</t>
  </si>
  <si>
    <t>euros</t>
  </si>
  <si>
    <t>T2</t>
  </si>
  <si>
    <t>CAR SI FAIBLES</t>
  </si>
  <si>
    <t>le budget d'achat car l'optimisation du cout d'achat unitaire et la saisonnalité compliquent les qtés commandées</t>
  </si>
  <si>
    <t>deux contraintes s'ajoutent : relèvement des couts d'achats unitaires en S2, saisonnalité et stocks de sécurité inversés entre A et B fin N+1</t>
  </si>
  <si>
    <t xml:space="preserve">GAIN DE TEMPS </t>
  </si>
  <si>
    <t>CUMUL</t>
  </si>
  <si>
    <t>SI Treso</t>
  </si>
  <si>
    <t>ENCAISS</t>
  </si>
  <si>
    <t>CCLIENTS</t>
  </si>
  <si>
    <t>VENTES N+1</t>
  </si>
  <si>
    <t xml:space="preserve">BILAN </t>
  </si>
  <si>
    <t>RED</t>
  </si>
  <si>
    <t>TOT ENCAI</t>
  </si>
  <si>
    <t>DECAISS</t>
  </si>
  <si>
    <t>INTERETS</t>
  </si>
  <si>
    <t xml:space="preserve">ANNUITE </t>
  </si>
  <si>
    <t>FRS</t>
  </si>
  <si>
    <t>FRS IMMO</t>
  </si>
  <si>
    <t xml:space="preserve">ETAT IS </t>
  </si>
  <si>
    <t>DIVI</t>
  </si>
  <si>
    <t>MATIERES</t>
  </si>
  <si>
    <t>PERSONNEL</t>
  </si>
  <si>
    <t>PUB</t>
  </si>
  <si>
    <t>CH IND PROD</t>
  </si>
  <si>
    <t>CH IND FG</t>
  </si>
  <si>
    <t>TOT DEC</t>
  </si>
  <si>
    <t>TOTAL TRIM</t>
  </si>
  <si>
    <t>(POUR BUDGET TRESO T+1)</t>
  </si>
  <si>
    <t>SOLDE TRESO</t>
  </si>
  <si>
    <t>ou sont les frais comm ??</t>
  </si>
  <si>
    <t xml:space="preserve">SAISO Q </t>
  </si>
  <si>
    <t>ventes T3 anticipation</t>
  </si>
  <si>
    <t xml:space="preserve">SAISON Q </t>
  </si>
  <si>
    <t>0,4 de 500 P</t>
  </si>
  <si>
    <t>0,4 de 50 Q</t>
  </si>
  <si>
    <t xml:space="preserve">0,4 de hausse de A </t>
  </si>
  <si>
    <t>= TOTAL T3</t>
  </si>
  <si>
    <t>= TOTAL T4</t>
  </si>
  <si>
    <t xml:space="preserve">précisions ventes en qtés = 5 % sur P et 10 % sur Q </t>
  </si>
  <si>
    <t>hausse stocks N+1</t>
  </si>
  <si>
    <t xml:space="preserve">donc pas achat en T2 de T4 </t>
  </si>
  <si>
    <t>baisse stocks N+1</t>
  </si>
  <si>
    <t>pour aspect treso</t>
  </si>
  <si>
    <t xml:space="preserve">achat en T2 de A pour T3 P totalité, avec marge de 5 % </t>
  </si>
  <si>
    <t>RESTE A ACHETER</t>
  </si>
  <si>
    <t>SOUS TOTAL INTERMED</t>
  </si>
  <si>
    <t xml:space="preserve">= </t>
  </si>
  <si>
    <t xml:space="preserve">appro S1 = 60 % des ventes sur S1 </t>
  </si>
  <si>
    <t>X</t>
  </si>
  <si>
    <t xml:space="preserve">kg A </t>
  </si>
  <si>
    <t xml:space="preserve">pour P </t>
  </si>
  <si>
    <t>pour Q</t>
  </si>
  <si>
    <t xml:space="preserve">KG DE A </t>
  </si>
  <si>
    <t>60 % DE LA HAUSSE AN</t>
  </si>
  <si>
    <t>12 X</t>
  </si>
  <si>
    <t>CV</t>
  </si>
  <si>
    <t>CF</t>
  </si>
  <si>
    <t>AGENTS COMM</t>
  </si>
  <si>
    <t>MOD</t>
  </si>
  <si>
    <t>CH INDIRECTES</t>
  </si>
  <si>
    <t>COMPLEMENT MOD</t>
  </si>
  <si>
    <t>ISSU DE Q</t>
  </si>
  <si>
    <t xml:space="preserve">SERV GENERAUX </t>
  </si>
  <si>
    <t>TOTAL COUT DE PERSO</t>
  </si>
  <si>
    <t xml:space="preserve">PAR TRIM </t>
  </si>
  <si>
    <t>CH IND DE PROD</t>
  </si>
  <si>
    <t xml:space="preserve">COUT DES PRODUITS </t>
  </si>
  <si>
    <t xml:space="preserve">MAT A </t>
  </si>
  <si>
    <t xml:space="preserve">MAT B </t>
  </si>
  <si>
    <t xml:space="preserve">MOD </t>
  </si>
  <si>
    <t xml:space="preserve">TOTAL CH DIR </t>
  </si>
  <si>
    <t xml:space="preserve">CH INDIRECTES ATE </t>
  </si>
  <si>
    <t>UO</t>
  </si>
  <si>
    <t>COUT ATELIER</t>
  </si>
  <si>
    <t>CH IND GENE</t>
  </si>
  <si>
    <t xml:space="preserve">COUT COMPLET </t>
  </si>
  <si>
    <t xml:space="preserve">Q </t>
  </si>
  <si>
    <t>BUDG FRAIS COMM</t>
  </si>
  <si>
    <t>FIXE</t>
  </si>
  <si>
    <t>INTERESSE</t>
  </si>
  <si>
    <t>BUDGET PUB</t>
  </si>
  <si>
    <t xml:space="preserve">ECART DE TAUX </t>
  </si>
  <si>
    <t xml:space="preserve">PRODUCTION </t>
  </si>
  <si>
    <t>TPS</t>
  </si>
  <si>
    <t xml:space="preserve">TEMPS </t>
  </si>
  <si>
    <t>TX HOR</t>
  </si>
  <si>
    <t xml:space="preserve">COUT </t>
  </si>
  <si>
    <t>BUDGET MOD</t>
  </si>
  <si>
    <t>annexe 9 non respectée</t>
  </si>
  <si>
    <t>sur le base des rendements horaires</t>
  </si>
  <si>
    <t>(hors MO et amortiss - obj budget de tréso</t>
  </si>
  <si>
    <t>CHARGES IND DES SERV GENE</t>
  </si>
  <si>
    <t>CORRECT</t>
  </si>
  <si>
    <t>PLUS COHERENT</t>
  </si>
  <si>
    <t xml:space="preserve">direct + indirect </t>
  </si>
  <si>
    <t xml:space="preserve">PRIX DE VENTE </t>
  </si>
  <si>
    <t xml:space="preserve">RESULTAT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</si>
</sst>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\ _€_-;_-@_-"/>
    <numFmt numFmtId="165" formatCode="_-* #,##0.000\ _€_-;\-* #,##0.000\ _€_-;_-* &quot;-&quot;???\ _€_-;_-@_-"/>
    <numFmt numFmtId="166" formatCode="_-* #,##0.0000\ _€_-;\-* #,##0.0000\ _€_-;_-* &quot;-&quot;????\ _€_-;_-@_-"/>
    <numFmt numFmtId="167" formatCode="_-* #,##0.00000\ _€_-;\-* #,##0.00000\ _€_-;_-* &quot;-&quot;?????\ _€_-;_-@_-"/>
    <numFmt numFmtId="168" formatCode="_-* #,##0.00000000\ _€_-;\-* #,##0.00000000\ _€_-;_-* &quot;-&quot;????????\ _€_-;_-@_-"/>
    <numFmt numFmtId="169" formatCode="#,##0.00\ _€"/>
    <numFmt numFmtId="170" formatCode="0.0%"/>
    <numFmt numFmtId="171" formatCode="_-* #,##0.0000000\ _€_-;\-* #,##0.0000000\ _€_-;_-* &quot;-&quot;???????\ _€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42" fontId="1" fillId="0" borderId="1" xfId="0" applyNumberFormat="1" applyFont="1" applyFill="1" applyBorder="1" applyAlignment="1">
      <alignment horizontal="center"/>
    </xf>
    <xf numFmtId="42" fontId="0" fillId="0" borderId="1" xfId="0" applyNumberFormat="1" applyFill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0" fontId="0" fillId="0" borderId="2" xfId="0" applyBorder="1"/>
    <xf numFmtId="42" fontId="0" fillId="0" borderId="3" xfId="0" applyNumberFormat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42" fontId="6" fillId="0" borderId="1" xfId="0" applyNumberFormat="1" applyFont="1" applyBorder="1" applyAlignment="1">
      <alignment horizontal="center"/>
    </xf>
    <xf numFmtId="42" fontId="6" fillId="0" borderId="3" xfId="0" applyNumberFormat="1" applyFont="1" applyBorder="1"/>
    <xf numFmtId="42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2" fontId="6" fillId="0" borderId="6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2" fontId="6" fillId="0" borderId="9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/>
    <xf numFmtId="0" fontId="0" fillId="0" borderId="10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11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7" fillId="0" borderId="0" xfId="0" applyNumberFormat="1" applyFont="1"/>
    <xf numFmtId="0" fontId="7" fillId="0" borderId="0" xfId="0" applyFont="1"/>
    <xf numFmtId="41" fontId="0" fillId="0" borderId="1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16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0" fontId="7" fillId="0" borderId="14" xfId="0" quotePrefix="1" applyFont="1" applyBorder="1"/>
    <xf numFmtId="41" fontId="7" fillId="0" borderId="14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  <xf numFmtId="0" fontId="0" fillId="0" borderId="19" xfId="0" applyBorder="1"/>
    <xf numFmtId="0" fontId="0" fillId="0" borderId="14" xfId="0" applyBorder="1"/>
    <xf numFmtId="0" fontId="0" fillId="0" borderId="15" xfId="0" applyBorder="1"/>
    <xf numFmtId="0" fontId="8" fillId="0" borderId="17" xfId="0" applyFont="1" applyBorder="1"/>
    <xf numFmtId="0" fontId="1" fillId="0" borderId="0" xfId="0" applyFont="1" applyBorder="1"/>
    <xf numFmtId="0" fontId="0" fillId="0" borderId="17" xfId="0" applyBorder="1"/>
    <xf numFmtId="0" fontId="0" fillId="0" borderId="0" xfId="0" applyBorder="1"/>
    <xf numFmtId="0" fontId="0" fillId="0" borderId="20" xfId="0" applyBorder="1"/>
    <xf numFmtId="0" fontId="0" fillId="0" borderId="0" xfId="0" quotePrefix="1" applyBorder="1"/>
    <xf numFmtId="0" fontId="7" fillId="0" borderId="17" xfId="0" applyFont="1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41" fontId="0" fillId="0" borderId="23" xfId="0" applyNumberFormat="1" applyBorder="1" applyAlignment="1">
      <alignment horizontal="center"/>
    </xf>
    <xf numFmtId="41" fontId="1" fillId="0" borderId="23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41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21" xfId="0" applyBorder="1"/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7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1" fillId="0" borderId="24" xfId="0" applyNumberFormat="1" applyFont="1" applyBorder="1" applyAlignment="1">
      <alignment horizontal="center"/>
    </xf>
    <xf numFmtId="41" fontId="0" fillId="0" borderId="0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1" fontId="0" fillId="0" borderId="20" xfId="0" quotePrefix="1" applyNumberFormat="1" applyBorder="1" applyAlignment="1">
      <alignment horizontal="center"/>
    </xf>
    <xf numFmtId="41" fontId="0" fillId="0" borderId="2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41" fontId="0" fillId="0" borderId="28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3" fontId="0" fillId="0" borderId="2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41" fontId="1" fillId="0" borderId="30" xfId="0" applyNumberFormat="1" applyFont="1" applyBorder="1" applyAlignment="1">
      <alignment horizontal="center"/>
    </xf>
    <xf numFmtId="44" fontId="0" fillId="0" borderId="30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6" xfId="0" applyNumberForma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3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43" fontId="0" fillId="0" borderId="0" xfId="0" applyNumberFormat="1"/>
    <xf numFmtId="41" fontId="0" fillId="0" borderId="10" xfId="0" applyNumberFormat="1" applyBorder="1"/>
    <xf numFmtId="165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41" fontId="12" fillId="0" borderId="15" xfId="0" applyNumberFormat="1" applyFont="1" applyBorder="1" applyAlignment="1">
      <alignment horizontal="center"/>
    </xf>
    <xf numFmtId="168" fontId="12" fillId="0" borderId="15" xfId="0" applyNumberFormat="1" applyFont="1" applyBorder="1" applyAlignment="1">
      <alignment horizontal="center"/>
    </xf>
    <xf numFmtId="0" fontId="12" fillId="0" borderId="15" xfId="0" applyFont="1" applyBorder="1"/>
    <xf numFmtId="0" fontId="12" fillId="2" borderId="24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41" fontId="12" fillId="0" borderId="20" xfId="0" applyNumberFormat="1" applyFont="1" applyBorder="1" applyAlignment="1">
      <alignment horizontal="center"/>
    </xf>
    <xf numFmtId="43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12" fillId="0" borderId="20" xfId="0" applyFont="1" applyBorder="1"/>
    <xf numFmtId="0" fontId="11" fillId="0" borderId="0" xfId="0" quotePrefix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41" fontId="7" fillId="0" borderId="17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1" fontId="7" fillId="0" borderId="18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1" fontId="7" fillId="0" borderId="23" xfId="0" applyNumberFormat="1" applyFont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41" fontId="13" fillId="0" borderId="0" xfId="0" applyNumberFormat="1" applyFont="1" applyAlignment="1">
      <alignment horizontal="center"/>
    </xf>
    <xf numFmtId="0" fontId="9" fillId="0" borderId="26" xfId="0" applyFont="1" applyBorder="1" applyAlignment="1">
      <alignment horizontal="center"/>
    </xf>
    <xf numFmtId="41" fontId="9" fillId="0" borderId="25" xfId="0" applyNumberFormat="1" applyFont="1" applyBorder="1" applyAlignment="1">
      <alignment horizontal="center"/>
    </xf>
    <xf numFmtId="41" fontId="9" fillId="0" borderId="26" xfId="0" applyNumberFormat="1" applyFont="1" applyBorder="1" applyAlignment="1">
      <alignment horizontal="center"/>
    </xf>
    <xf numFmtId="43" fontId="9" fillId="0" borderId="26" xfId="0" applyNumberFormat="1" applyFont="1" applyBorder="1" applyAlignment="1">
      <alignment horizontal="center"/>
    </xf>
    <xf numFmtId="41" fontId="9" fillId="0" borderId="27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0" fontId="9" fillId="0" borderId="26" xfId="0" applyFont="1" applyBorder="1"/>
    <xf numFmtId="41" fontId="0" fillId="2" borderId="24" xfId="0" applyNumberFormat="1" applyFill="1" applyBorder="1" applyAlignment="1">
      <alignment horizontal="center"/>
    </xf>
    <xf numFmtId="41" fontId="0" fillId="3" borderId="0" xfId="0" applyNumberFormat="1" applyFill="1" applyAlignment="1">
      <alignment horizontal="center"/>
    </xf>
    <xf numFmtId="41" fontId="0" fillId="3" borderId="22" xfId="0" applyNumberFormat="1" applyFill="1" applyBorder="1" applyAlignment="1">
      <alignment horizontal="center"/>
    </xf>
    <xf numFmtId="41" fontId="0" fillId="3" borderId="23" xfId="0" applyNumberFormat="1" applyFill="1" applyBorder="1" applyAlignment="1">
      <alignment horizontal="center"/>
    </xf>
    <xf numFmtId="41" fontId="0" fillId="3" borderId="24" xfId="0" applyNumberFormat="1" applyFill="1" applyBorder="1" applyAlignment="1">
      <alignment horizontal="center"/>
    </xf>
    <xf numFmtId="41" fontId="7" fillId="3" borderId="23" xfId="0" applyNumberFormat="1" applyFont="1" applyFill="1" applyBorder="1" applyAlignment="1">
      <alignment horizontal="center"/>
    </xf>
    <xf numFmtId="41" fontId="9" fillId="3" borderId="23" xfId="0" applyNumberFormat="1" applyFont="1" applyFill="1" applyBorder="1" applyAlignment="1">
      <alignment horizontal="center"/>
    </xf>
    <xf numFmtId="41" fontId="1" fillId="3" borderId="23" xfId="0" applyNumberFormat="1" applyFont="1" applyFill="1" applyBorder="1" applyAlignment="1">
      <alignment horizontal="center"/>
    </xf>
    <xf numFmtId="41" fontId="9" fillId="3" borderId="1" xfId="0" applyNumberFormat="1" applyFont="1" applyFill="1" applyBorder="1" applyAlignment="1">
      <alignment horizontal="center"/>
    </xf>
    <xf numFmtId="41" fontId="9" fillId="3" borderId="26" xfId="0" applyNumberFormat="1" applyFont="1" applyFill="1" applyBorder="1" applyAlignment="1">
      <alignment horizontal="center"/>
    </xf>
    <xf numFmtId="41" fontId="0" fillId="3" borderId="15" xfId="0" applyNumberFormat="1" applyFill="1" applyBorder="1" applyAlignment="1">
      <alignment horizontal="center"/>
    </xf>
    <xf numFmtId="41" fontId="12" fillId="3" borderId="20" xfId="0" applyNumberFormat="1" applyFont="1" applyFill="1" applyBorder="1" applyAlignment="1">
      <alignment horizontal="center"/>
    </xf>
    <xf numFmtId="41" fontId="12" fillId="0" borderId="22" xfId="0" applyNumberFormat="1" applyFont="1" applyBorder="1" applyAlignment="1">
      <alignment horizontal="center"/>
    </xf>
    <xf numFmtId="41" fontId="12" fillId="0" borderId="24" xfId="0" applyNumberFormat="1" applyFont="1" applyBorder="1" applyAlignment="1">
      <alignment horizontal="center"/>
    </xf>
    <xf numFmtId="165" fontId="9" fillId="0" borderId="26" xfId="0" applyNumberFormat="1" applyFont="1" applyBorder="1"/>
    <xf numFmtId="12" fontId="0" fillId="0" borderId="0" xfId="0" applyNumberFormat="1" applyAlignment="1">
      <alignment horizontal="center"/>
    </xf>
    <xf numFmtId="169" fontId="0" fillId="0" borderId="18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41" fontId="14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41" fontId="14" fillId="3" borderId="0" xfId="0" applyNumberFormat="1" applyFont="1" applyFill="1" applyAlignment="1">
      <alignment horizontal="center"/>
    </xf>
    <xf numFmtId="0" fontId="14" fillId="0" borderId="0" xfId="0" applyFont="1"/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quotePrefix="1" applyBorder="1"/>
    <xf numFmtId="0" fontId="0" fillId="0" borderId="2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4" xfId="0" applyFont="1" applyBorder="1"/>
    <xf numFmtId="0" fontId="6" fillId="0" borderId="15" xfId="0" quotePrefix="1" applyFont="1" applyBorder="1"/>
    <xf numFmtId="41" fontId="6" fillId="0" borderId="14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16" fillId="0" borderId="15" xfId="0" applyNumberFormat="1" applyFont="1" applyBorder="1" applyAlignment="1">
      <alignment horizontal="center"/>
    </xf>
    <xf numFmtId="41" fontId="16" fillId="0" borderId="16" xfId="0" applyNumberFormat="1" applyFont="1" applyBorder="1" applyAlignment="1">
      <alignment horizontal="center"/>
    </xf>
    <xf numFmtId="41" fontId="6" fillId="0" borderId="0" xfId="0" applyNumberFormat="1" applyFont="1"/>
    <xf numFmtId="41" fontId="1" fillId="0" borderId="15" xfId="0" applyNumberFormat="1" applyFont="1" applyBorder="1" applyAlignment="1">
      <alignment horizontal="center"/>
    </xf>
    <xf numFmtId="41" fontId="1" fillId="3" borderId="22" xfId="0" applyNumberFormat="1" applyFont="1" applyFill="1" applyBorder="1" applyAlignment="1">
      <alignment horizontal="center"/>
    </xf>
    <xf numFmtId="43" fontId="7" fillId="0" borderId="15" xfId="0" applyNumberFormat="1" applyFont="1" applyBorder="1" applyAlignment="1">
      <alignment horizontal="center"/>
    </xf>
    <xf numFmtId="41" fontId="7" fillId="0" borderId="26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41" fontId="7" fillId="0" borderId="27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3" borderId="2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43" fontId="0" fillId="3" borderId="0" xfId="0" applyNumberFormat="1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0" xfId="0" applyFill="1"/>
    <xf numFmtId="165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3" borderId="0" xfId="0" applyNumberFormat="1" applyFill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70" fontId="17" fillId="0" borderId="0" xfId="0" applyNumberFormat="1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1" fontId="1" fillId="0" borderId="22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41" fontId="1" fillId="0" borderId="20" xfId="0" applyNumberFormat="1" applyFont="1" applyBorder="1" applyAlignment="1">
      <alignment horizontal="center"/>
    </xf>
    <xf numFmtId="41" fontId="1" fillId="0" borderId="24" xfId="0" applyNumberFormat="1" applyFont="1" applyBorder="1" applyAlignment="1">
      <alignment horizontal="center"/>
    </xf>
    <xf numFmtId="0" fontId="1" fillId="0" borderId="17" xfId="0" applyFont="1" applyBorder="1"/>
    <xf numFmtId="0" fontId="8" fillId="0" borderId="23" xfId="0" applyFont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41" fontId="0" fillId="2" borderId="20" xfId="0" applyNumberFormat="1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41" fontId="0" fillId="3" borderId="20" xfId="0" applyNumberFormat="1" applyFill="1" applyBorder="1" applyAlignment="1">
      <alignment horizontal="center"/>
    </xf>
    <xf numFmtId="0" fontId="1" fillId="0" borderId="0" xfId="0" quotePrefix="1" applyFont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1" fontId="1" fillId="2" borderId="15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41" fontId="1" fillId="3" borderId="1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70" fontId="17" fillId="3" borderId="29" xfId="0" applyNumberFormat="1" applyFont="1" applyFill="1" applyBorder="1" applyAlignment="1">
      <alignment horizontal="center"/>
    </xf>
    <xf numFmtId="0" fontId="9" fillId="0" borderId="26" xfId="0" quotePrefix="1" applyFont="1" applyBorder="1" applyAlignment="1">
      <alignment horizontal="center"/>
    </xf>
    <xf numFmtId="41" fontId="0" fillId="0" borderId="0" xfId="0" applyNumberFormat="1" applyAlignment="1">
      <alignment horizontal="left"/>
    </xf>
    <xf numFmtId="170" fontId="17" fillId="0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41" fontId="18" fillId="0" borderId="0" xfId="0" applyNumberFormat="1" applyFont="1" applyAlignment="1">
      <alignment horizontal="center"/>
    </xf>
    <xf numFmtId="41" fontId="1" fillId="0" borderId="12" xfId="0" applyNumberFormat="1" applyFont="1" applyBorder="1" applyAlignment="1">
      <alignment horizontal="left"/>
    </xf>
    <xf numFmtId="43" fontId="0" fillId="0" borderId="13" xfId="0" applyNumberFormat="1" applyBorder="1" applyAlignment="1">
      <alignment horizontal="center"/>
    </xf>
    <xf numFmtId="41" fontId="0" fillId="0" borderId="0" xfId="0" quotePrefix="1" applyNumberFormat="1" applyAlignment="1">
      <alignment horizontal="center"/>
    </xf>
    <xf numFmtId="41" fontId="0" fillId="0" borderId="16" xfId="0" applyNumberFormat="1" applyBorder="1" applyAlignment="1">
      <alignment horizontal="left"/>
    </xf>
    <xf numFmtId="41" fontId="0" fillId="0" borderId="19" xfId="0" applyNumberFormat="1" applyBorder="1" applyAlignment="1">
      <alignment horizontal="right"/>
    </xf>
    <xf numFmtId="41" fontId="0" fillId="0" borderId="21" xfId="0" applyNumberFormat="1" applyBorder="1" applyAlignment="1">
      <alignment horizontal="left"/>
    </xf>
    <xf numFmtId="43" fontId="0" fillId="0" borderId="22" xfId="0" applyNumberFormat="1" applyBorder="1" applyAlignment="1">
      <alignment horizontal="center"/>
    </xf>
    <xf numFmtId="43" fontId="0" fillId="0" borderId="24" xfId="0" applyNumberFormat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20" fillId="0" borderId="25" xfId="0" applyFont="1" applyBorder="1" applyAlignment="1">
      <alignment horizontal="left"/>
    </xf>
    <xf numFmtId="170" fontId="21" fillId="0" borderId="26" xfId="0" applyNumberFormat="1" applyFont="1" applyBorder="1" applyAlignment="1">
      <alignment horizontal="center"/>
    </xf>
    <xf numFmtId="41" fontId="20" fillId="0" borderId="25" xfId="0" applyNumberFormat="1" applyFont="1" applyBorder="1" applyAlignment="1">
      <alignment horizontal="center"/>
    </xf>
    <xf numFmtId="41" fontId="20" fillId="0" borderId="26" xfId="0" applyNumberFormat="1" applyFont="1" applyBorder="1" applyAlignment="1">
      <alignment horizontal="center"/>
    </xf>
    <xf numFmtId="43" fontId="20" fillId="0" borderId="26" xfId="0" applyNumberFormat="1" applyFont="1" applyBorder="1" applyAlignment="1">
      <alignment horizontal="center"/>
    </xf>
    <xf numFmtId="41" fontId="20" fillId="0" borderId="27" xfId="0" applyNumberFormat="1" applyFont="1" applyBorder="1" applyAlignment="1">
      <alignment horizontal="center"/>
    </xf>
    <xf numFmtId="164" fontId="20" fillId="0" borderId="26" xfId="0" applyNumberFormat="1" applyFont="1" applyBorder="1" applyAlignment="1">
      <alignment horizontal="center"/>
    </xf>
    <xf numFmtId="41" fontId="20" fillId="3" borderId="1" xfId="0" applyNumberFormat="1" applyFont="1" applyFill="1" applyBorder="1" applyAlignment="1">
      <alignment horizontal="center"/>
    </xf>
    <xf numFmtId="0" fontId="20" fillId="0" borderId="27" xfId="0" applyFont="1" applyBorder="1"/>
    <xf numFmtId="0" fontId="20" fillId="0" borderId="0" xfId="0" applyFont="1"/>
    <xf numFmtId="0" fontId="0" fillId="0" borderId="1" xfId="0" applyBorder="1"/>
    <xf numFmtId="0" fontId="0" fillId="0" borderId="12" xfId="0" applyBorder="1" applyAlignment="1">
      <alignment horizontal="center"/>
    </xf>
    <xf numFmtId="171" fontId="0" fillId="2" borderId="20" xfId="0" applyNumberFormat="1" applyFill="1" applyBorder="1" applyAlignment="1">
      <alignment horizontal="center"/>
    </xf>
    <xf numFmtId="0" fontId="22" fillId="0" borderId="0" xfId="0" applyFont="1"/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7" fontId="22" fillId="0" borderId="20" xfId="0" applyNumberFormat="1" applyFont="1" applyBorder="1" applyAlignment="1">
      <alignment horizontal="center"/>
    </xf>
    <xf numFmtId="43" fontId="22" fillId="0" borderId="20" xfId="0" applyNumberFormat="1" applyFont="1" applyBorder="1" applyAlignment="1">
      <alignment horizontal="center"/>
    </xf>
    <xf numFmtId="165" fontId="22" fillId="0" borderId="20" xfId="0" applyNumberFormat="1" applyFont="1" applyBorder="1" applyAlignment="1">
      <alignment horizontal="center"/>
    </xf>
    <xf numFmtId="44" fontId="22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0" fontId="22" fillId="0" borderId="0" xfId="0" applyNumberFormat="1" applyFont="1" applyAlignment="1">
      <alignment horizontal="center"/>
    </xf>
    <xf numFmtId="41" fontId="22" fillId="0" borderId="0" xfId="0" applyNumberFormat="1" applyFont="1"/>
    <xf numFmtId="0" fontId="9" fillId="0" borderId="0" xfId="0" applyFont="1"/>
    <xf numFmtId="4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1" fontId="7" fillId="0" borderId="1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1" fontId="23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41" fontId="0" fillId="2" borderId="1" xfId="0" applyNumberFormat="1" applyFill="1" applyBorder="1" applyAlignment="1">
      <alignment horizontal="center"/>
    </xf>
    <xf numFmtId="41" fontId="0" fillId="3" borderId="1" xfId="0" applyNumberFormat="1" applyFill="1" applyBorder="1" applyAlignment="1">
      <alignment horizontal="center"/>
    </xf>
    <xf numFmtId="41" fontId="9" fillId="0" borderId="0" xfId="0" quotePrefix="1" applyNumberFormat="1" applyFont="1" applyAlignment="1">
      <alignment horizontal="left"/>
    </xf>
    <xf numFmtId="0" fontId="0" fillId="0" borderId="22" xfId="0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7" fillId="0" borderId="11" xfId="0" applyFont="1" applyBorder="1"/>
    <xf numFmtId="0" fontId="7" fillId="0" borderId="32" xfId="0" applyFont="1" applyBorder="1"/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1" fillId="2" borderId="11" xfId="0" applyFont="1" applyFill="1" applyBorder="1"/>
    <xf numFmtId="0" fontId="1" fillId="2" borderId="3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/>
    <xf numFmtId="44" fontId="9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44" fontId="23" fillId="0" borderId="0" xfId="0" applyNumberFormat="1" applyFont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22" xfId="0" applyNumberFormat="1" applyBorder="1" applyAlignment="1">
      <alignment horizontal="center"/>
    </xf>
    <xf numFmtId="44" fontId="7" fillId="0" borderId="32" xfId="0" applyNumberFormat="1" applyFont="1" applyBorder="1" applyAlignment="1">
      <alignment horizontal="center"/>
    </xf>
    <xf numFmtId="44" fontId="1" fillId="2" borderId="12" xfId="0" applyNumberFormat="1" applyFont="1" applyFill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44" fontId="1" fillId="2" borderId="32" xfId="0" applyNumberFormat="1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4" fontId="0" fillId="0" borderId="1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1" fillId="0" borderId="1" xfId="0" applyNumberFormat="1" applyFont="1" applyBorder="1"/>
    <xf numFmtId="44" fontId="1" fillId="0" borderId="12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qtés MAT 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FSTOCKS!$P$9</c:f>
              <c:strCache>
                <c:ptCount val="1"/>
                <c:pt idx="0">
                  <c:v>qtés</c:v>
                </c:pt>
              </c:strCache>
            </c:strRef>
          </c:tx>
          <c:invertIfNegative val="0"/>
          <c:cat>
            <c:strRef>
              <c:f>FSTOCKS!$O$10:$O$15</c:f>
              <c:strCache>
                <c:ptCount val="6"/>
                <c:pt idx="0">
                  <c:v>T1</c:v>
                </c:pt>
                <c:pt idx="3">
                  <c:v>T2</c:v>
                </c:pt>
                <c:pt idx="4">
                  <c:v>T3</c:v>
                </c:pt>
                <c:pt idx="5">
                  <c:v>T4</c:v>
                </c:pt>
              </c:strCache>
            </c:strRef>
          </c:cat>
          <c:val>
            <c:numRef>
              <c:f>FSTOCKS!$P$10:$P$15</c:f>
              <c:numCache>
                <c:formatCode>_(* #,##0_);_(* \(#,##0\);_(* "-"_);_(@_)</c:formatCode>
                <c:ptCount val="6"/>
                <c:pt idx="0">
                  <c:v>30800</c:v>
                </c:pt>
                <c:pt idx="3">
                  <c:v>63400</c:v>
                </c:pt>
                <c:pt idx="4">
                  <c:v>11500</c:v>
                </c:pt>
                <c:pt idx="5">
                  <c:v>51300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19264"/>
        <c:axId val="110220800"/>
      </c:barChart>
      <c:catAx>
        <c:axId val="11021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20800"/>
        <c:crosses val="autoZero"/>
        <c:auto val="1"/>
        <c:lblAlgn val="ctr"/>
        <c:lblOffset val="100"/>
        <c:noMultiLvlLbl val="0"/>
      </c:catAx>
      <c:valAx>
        <c:axId val="11022080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10219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qtés MAT B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FSTOCKS!$P$29</c:f>
              <c:strCache>
                <c:ptCount val="1"/>
                <c:pt idx="0">
                  <c:v>qtés</c:v>
                </c:pt>
              </c:strCache>
            </c:strRef>
          </c:tx>
          <c:invertIfNegative val="0"/>
          <c:cat>
            <c:strRef>
              <c:f>FSTOCKS!$O$30:$O$36</c:f>
              <c:strCache>
                <c:ptCount val="7"/>
                <c:pt idx="0">
                  <c:v>T1</c:v>
                </c:pt>
                <c:pt idx="4">
                  <c:v>T2</c:v>
                </c:pt>
                <c:pt idx="5">
                  <c:v>T3</c:v>
                </c:pt>
                <c:pt idx="6">
                  <c:v>T4</c:v>
                </c:pt>
              </c:strCache>
            </c:strRef>
          </c:cat>
          <c:val>
            <c:numRef>
              <c:f>FSTOCKS!$P$30:$P$36</c:f>
              <c:numCache>
                <c:formatCode>_(* #,##0_);_(* \(#,##0\);_(* "-"_);_(@_)</c:formatCode>
                <c:ptCount val="7"/>
                <c:pt idx="0">
                  <c:v>4240</c:v>
                </c:pt>
                <c:pt idx="4">
                  <c:v>16190</c:v>
                </c:pt>
                <c:pt idx="5">
                  <c:v>3425</c:v>
                </c:pt>
                <c:pt idx="6">
                  <c:v>12795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15008"/>
        <c:axId val="110316544"/>
      </c:barChart>
      <c:catAx>
        <c:axId val="11031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316544"/>
        <c:crosses val="autoZero"/>
        <c:auto val="1"/>
        <c:lblAlgn val="ctr"/>
        <c:lblOffset val="100"/>
        <c:noMultiLvlLbl val="0"/>
      </c:catAx>
      <c:valAx>
        <c:axId val="11031654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1031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619125</xdr:colOff>
      <xdr:row>5</xdr:row>
      <xdr:rowOff>138112</xdr:rowOff>
    </xdr:from>
    <xdr:to>
      <xdr:col>24</xdr:col>
      <xdr:colOff>619125</xdr:colOff>
      <xdr:row>21</xdr:row>
      <xdr:rowOff>138112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723900</xdr:colOff>
      <xdr:row>24</xdr:row>
      <xdr:rowOff>176212</xdr:rowOff>
    </xdr:from>
    <xdr:to>
      <xdr:col>24</xdr:col>
      <xdr:colOff>723900</xdr:colOff>
      <xdr:row>41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52"/>
  <sheetViews>
    <sheetView topLeftCell="D21" zoomScale="120" zoomScaleNormal="120" workbookViewId="0">
      <selection activeCell="F39" sqref="F39:J49"/>
    </sheetView>
  </sheetViews>
  <sheetFormatPr baseColWidth="10" defaultRowHeight="15" x14ac:dyDescent="0.25"/>
  <cols>
    <col min="2" max="2" width="11.42578125" style="19"/>
    <col min="3" max="3" width="11.42578125" style="1"/>
    <col min="4" max="4" width="19.5703125" style="1" customWidth="1"/>
    <col min="5" max="5" width="12.7109375" style="1" bestFit="1" customWidth="1"/>
    <col min="6" max="7" width="11.5703125" style="1" bestFit="1" customWidth="1"/>
    <col min="8" max="8" width="30.5703125" style="8" bestFit="1" customWidth="1"/>
    <col min="9" max="12" width="11.42578125" style="1"/>
    <col min="13" max="13" width="13.5703125" style="1" bestFit="1" customWidth="1"/>
    <col min="14" max="14" width="11.42578125" style="1"/>
    <col min="15" max="15" width="30.5703125" bestFit="1" customWidth="1"/>
  </cols>
  <sheetData>
    <row r="7" spans="2:15" s="15" customFormat="1" ht="31.5" x14ac:dyDescent="0.5">
      <c r="B7" s="18"/>
      <c r="C7" s="16"/>
      <c r="D7" s="16"/>
      <c r="E7" s="16"/>
      <c r="F7" s="16"/>
      <c r="G7" s="16" t="s">
        <v>0</v>
      </c>
      <c r="H7" s="17"/>
      <c r="I7" s="16"/>
      <c r="J7" s="16"/>
      <c r="K7" s="16"/>
      <c r="L7" s="16" t="s">
        <v>1</v>
      </c>
      <c r="M7" s="16"/>
      <c r="N7" s="16"/>
    </row>
    <row r="9" spans="2:15" s="4" customFormat="1" x14ac:dyDescent="0.25">
      <c r="B9" s="19"/>
      <c r="C9" s="5"/>
      <c r="D9" s="5"/>
      <c r="E9" s="6" t="s">
        <v>1</v>
      </c>
      <c r="F9" s="6" t="s">
        <v>2</v>
      </c>
      <c r="G9" s="6" t="s">
        <v>3</v>
      </c>
      <c r="H9" s="9" t="s">
        <v>4</v>
      </c>
      <c r="I9" s="5"/>
      <c r="J9" s="6" t="s">
        <v>1</v>
      </c>
      <c r="K9" s="6" t="s">
        <v>2</v>
      </c>
      <c r="L9" s="6" t="s">
        <v>3</v>
      </c>
      <c r="M9" s="7" t="s">
        <v>4</v>
      </c>
      <c r="N9" s="5"/>
      <c r="O9" s="4" t="s">
        <v>147</v>
      </c>
    </row>
    <row r="10" spans="2:15" s="4" customFormat="1" x14ac:dyDescent="0.25">
      <c r="B10" s="19"/>
      <c r="C10" s="5"/>
      <c r="D10" s="5"/>
      <c r="E10" s="6"/>
      <c r="F10" s="6"/>
      <c r="G10" s="6"/>
      <c r="H10" s="9"/>
      <c r="I10" s="5"/>
      <c r="J10" s="6"/>
      <c r="K10" s="6"/>
      <c r="L10" s="6"/>
      <c r="M10" s="7"/>
      <c r="N10" s="5"/>
      <c r="O10" s="291" t="s">
        <v>148</v>
      </c>
    </row>
    <row r="11" spans="2:15" s="4" customFormat="1" x14ac:dyDescent="0.25">
      <c r="B11" s="19"/>
      <c r="C11" s="5"/>
      <c r="D11" s="5"/>
      <c r="E11" s="6" t="s">
        <v>8</v>
      </c>
      <c r="F11" s="6" t="s">
        <v>9</v>
      </c>
      <c r="G11" s="6">
        <v>100</v>
      </c>
      <c r="H11" s="9"/>
      <c r="I11" s="5"/>
      <c r="J11" s="6" t="s">
        <v>12</v>
      </c>
      <c r="K11" s="6" t="s">
        <v>11</v>
      </c>
      <c r="L11" s="6" t="s">
        <v>10</v>
      </c>
      <c r="M11" s="7"/>
      <c r="N11" s="5"/>
    </row>
    <row r="12" spans="2:15" ht="15.75" thickBot="1" x14ac:dyDescent="0.3">
      <c r="E12" s="2"/>
      <c r="F12" s="2"/>
      <c r="G12" s="2"/>
      <c r="H12" s="10"/>
      <c r="J12" s="2"/>
      <c r="K12" s="2"/>
      <c r="L12" s="2"/>
      <c r="M12" s="3"/>
    </row>
    <row r="13" spans="2:15" x14ac:dyDescent="0.25">
      <c r="B13" s="19" t="s">
        <v>7</v>
      </c>
      <c r="D13" s="1" t="s">
        <v>5</v>
      </c>
      <c r="E13" s="2"/>
      <c r="F13" s="2"/>
      <c r="G13" s="2"/>
      <c r="H13" s="11"/>
      <c r="J13" s="2">
        <v>125</v>
      </c>
      <c r="K13" s="14">
        <v>640</v>
      </c>
      <c r="L13" s="2">
        <v>0.25</v>
      </c>
      <c r="M13" s="11">
        <f t="shared" ref="M13:M23" si="0">+J13*K13*L13</f>
        <v>20000</v>
      </c>
      <c r="O13" s="12"/>
    </row>
    <row r="14" spans="2:15" ht="15.75" thickBot="1" x14ac:dyDescent="0.3">
      <c r="D14" s="1" t="s">
        <v>6</v>
      </c>
      <c r="E14" s="2">
        <v>1200</v>
      </c>
      <c r="F14" s="14">
        <v>440</v>
      </c>
      <c r="G14" s="2">
        <v>1</v>
      </c>
      <c r="H14" s="11">
        <f>+E14*F14*G14</f>
        <v>528000</v>
      </c>
      <c r="J14" s="2">
        <v>125</v>
      </c>
      <c r="K14" s="14">
        <f>K13*0.9</f>
        <v>576</v>
      </c>
      <c r="L14" s="2">
        <v>0.75</v>
      </c>
      <c r="M14" s="11">
        <f t="shared" si="0"/>
        <v>54000</v>
      </c>
      <c r="O14" s="13">
        <f>M14+H14+M13</f>
        <v>602000</v>
      </c>
    </row>
    <row r="15" spans="2:15" ht="15.75" thickBot="1" x14ac:dyDescent="0.3"/>
    <row r="16" spans="2:15" x14ac:dyDescent="0.25">
      <c r="B16" s="19" t="s">
        <v>13</v>
      </c>
      <c r="D16" s="1" t="s">
        <v>5</v>
      </c>
      <c r="E16" s="2"/>
      <c r="F16" s="2"/>
      <c r="G16" s="2"/>
      <c r="H16" s="11"/>
      <c r="J16" s="2">
        <v>525</v>
      </c>
      <c r="K16" s="14">
        <v>640</v>
      </c>
      <c r="L16" s="2">
        <v>0.25</v>
      </c>
      <c r="M16" s="11">
        <f t="shared" si="0"/>
        <v>84000</v>
      </c>
      <c r="O16" s="12"/>
    </row>
    <row r="17" spans="2:15" ht="15.75" thickBot="1" x14ac:dyDescent="0.3">
      <c r="D17" s="1" t="s">
        <v>6</v>
      </c>
      <c r="E17" s="2">
        <v>2500</v>
      </c>
      <c r="F17" s="14">
        <v>440</v>
      </c>
      <c r="G17" s="2">
        <v>1</v>
      </c>
      <c r="H17" s="11">
        <f>+E17*F17*G17</f>
        <v>1100000</v>
      </c>
      <c r="J17" s="2">
        <v>525</v>
      </c>
      <c r="K17" s="14">
        <f>K16*0.9</f>
        <v>576</v>
      </c>
      <c r="L17" s="2">
        <v>0.75</v>
      </c>
      <c r="M17" s="11">
        <f t="shared" si="0"/>
        <v>226800</v>
      </c>
      <c r="O17" s="13">
        <f>M17+H17+M16</f>
        <v>1410800</v>
      </c>
    </row>
    <row r="18" spans="2:15" ht="15.75" thickBot="1" x14ac:dyDescent="0.3"/>
    <row r="19" spans="2:15" x14ac:dyDescent="0.25">
      <c r="B19" s="19" t="s">
        <v>14</v>
      </c>
      <c r="D19" s="1" t="s">
        <v>5</v>
      </c>
      <c r="E19" s="2"/>
      <c r="F19" s="2"/>
      <c r="G19" s="2"/>
      <c r="H19" s="11"/>
      <c r="J19" s="2">
        <v>300</v>
      </c>
      <c r="K19" s="14">
        <v>640</v>
      </c>
      <c r="L19" s="2">
        <v>0.25</v>
      </c>
      <c r="M19" s="11">
        <f t="shared" si="0"/>
        <v>48000</v>
      </c>
      <c r="O19" s="12"/>
    </row>
    <row r="20" spans="2:15" ht="15.75" thickBot="1" x14ac:dyDescent="0.3">
      <c r="D20" s="1" t="s">
        <v>6</v>
      </c>
      <c r="E20" s="2">
        <v>800</v>
      </c>
      <c r="F20" s="14">
        <f>+F14</f>
        <v>440</v>
      </c>
      <c r="G20" s="2">
        <v>1</v>
      </c>
      <c r="H20" s="11">
        <f>+E20*F20*G20</f>
        <v>352000</v>
      </c>
      <c r="J20" s="2">
        <v>300</v>
      </c>
      <c r="K20" s="14">
        <f>K19*0.9</f>
        <v>576</v>
      </c>
      <c r="L20" s="2">
        <v>0.75</v>
      </c>
      <c r="M20" s="11">
        <f t="shared" si="0"/>
        <v>129600</v>
      </c>
      <c r="O20" s="13">
        <f>M20+H20+M19</f>
        <v>529600</v>
      </c>
    </row>
    <row r="21" spans="2:15" ht="15.75" thickBot="1" x14ac:dyDescent="0.3"/>
    <row r="22" spans="2:15" x14ac:dyDescent="0.25">
      <c r="B22" s="19" t="s">
        <v>15</v>
      </c>
      <c r="D22" s="1" t="s">
        <v>5</v>
      </c>
      <c r="E22" s="2"/>
      <c r="F22" s="2"/>
      <c r="G22" s="2"/>
      <c r="H22" s="11"/>
      <c r="J22" s="2">
        <v>150</v>
      </c>
      <c r="K22" s="14">
        <v>640</v>
      </c>
      <c r="L22" s="2">
        <v>0.25</v>
      </c>
      <c r="M22" s="11">
        <f t="shared" si="0"/>
        <v>24000</v>
      </c>
      <c r="O22" s="12"/>
    </row>
    <row r="23" spans="2:15" ht="15.75" thickBot="1" x14ac:dyDescent="0.3">
      <c r="D23" s="1" t="s">
        <v>6</v>
      </c>
      <c r="E23" s="2">
        <v>1500</v>
      </c>
      <c r="F23" s="14">
        <f>+F14</f>
        <v>440</v>
      </c>
      <c r="G23" s="2">
        <v>1</v>
      </c>
      <c r="H23" s="11">
        <f>+E23*F23*G23</f>
        <v>660000</v>
      </c>
      <c r="J23" s="2">
        <v>150</v>
      </c>
      <c r="K23" s="14">
        <f>K22*0.9</f>
        <v>576</v>
      </c>
      <c r="L23" s="2">
        <v>0.75</v>
      </c>
      <c r="M23" s="11">
        <f t="shared" si="0"/>
        <v>64800</v>
      </c>
      <c r="O23" s="13">
        <f>M23+H23+M22</f>
        <v>748800</v>
      </c>
    </row>
    <row r="25" spans="2:15" ht="15.75" thickBot="1" x14ac:dyDescent="0.3"/>
    <row r="26" spans="2:15" s="27" customFormat="1" ht="18.75" x14ac:dyDescent="0.3">
      <c r="B26" s="20" t="s">
        <v>16</v>
      </c>
      <c r="C26" s="21"/>
      <c r="D26" s="22" t="s">
        <v>5</v>
      </c>
      <c r="E26" s="23"/>
      <c r="F26" s="23"/>
      <c r="G26" s="23"/>
      <c r="H26" s="24"/>
      <c r="I26" s="22"/>
      <c r="J26" s="25">
        <f>+J13+J16+J19+J22</f>
        <v>1100</v>
      </c>
      <c r="K26" s="25">
        <f>+K13</f>
        <v>640</v>
      </c>
      <c r="L26" s="25">
        <f>+L13</f>
        <v>0.25</v>
      </c>
      <c r="M26" s="25">
        <f>+J26*K26*L26</f>
        <v>176000</v>
      </c>
      <c r="N26" s="21"/>
      <c r="O26" s="26"/>
    </row>
    <row r="27" spans="2:15" s="27" customFormat="1" ht="19.5" thickBot="1" x14ac:dyDescent="0.35">
      <c r="B27" s="20"/>
      <c r="C27" s="21"/>
      <c r="D27" s="22" t="s">
        <v>6</v>
      </c>
      <c r="E27" s="23">
        <f>+E23+E20+E17+E14</f>
        <v>6000</v>
      </c>
      <c r="F27" s="28">
        <f>+F14</f>
        <v>440</v>
      </c>
      <c r="G27" s="23">
        <v>1</v>
      </c>
      <c r="H27" s="29">
        <f>+E27*F27*G27</f>
        <v>2640000</v>
      </c>
      <c r="I27" s="22"/>
      <c r="J27" s="25">
        <f>+J14+J17+J20+J23</f>
        <v>1100</v>
      </c>
      <c r="K27" s="25">
        <f>+K14</f>
        <v>576</v>
      </c>
      <c r="L27" s="25">
        <f>+L14</f>
        <v>0.75</v>
      </c>
      <c r="M27" s="25">
        <f>+J27*K27*L27</f>
        <v>475200</v>
      </c>
      <c r="N27" s="21"/>
      <c r="O27" s="30">
        <f>+O14+O17+O20+O23</f>
        <v>3291200</v>
      </c>
    </row>
    <row r="28" spans="2:15" s="27" customFormat="1" ht="19.5" thickBot="1" x14ac:dyDescent="0.35">
      <c r="B28" s="20"/>
      <c r="C28" s="21"/>
      <c r="D28" s="21"/>
      <c r="E28" s="21"/>
      <c r="F28" s="21"/>
      <c r="G28" s="21"/>
      <c r="H28" s="31"/>
      <c r="I28" s="21"/>
      <c r="J28" s="21"/>
      <c r="K28" s="21"/>
      <c r="L28" s="21"/>
      <c r="M28" s="21"/>
      <c r="N28" s="21"/>
    </row>
    <row r="29" spans="2:15" s="27" customFormat="1" ht="18.75" x14ac:dyDescent="0.3">
      <c r="B29" s="20"/>
      <c r="C29" s="21"/>
      <c r="D29" s="21"/>
      <c r="E29" s="32"/>
      <c r="F29" s="33"/>
      <c r="G29" s="34"/>
      <c r="H29" s="35"/>
      <c r="I29" s="21"/>
      <c r="J29" s="32"/>
      <c r="K29" s="36"/>
      <c r="L29" s="34"/>
      <c r="M29" s="37"/>
      <c r="N29" s="21"/>
      <c r="O29" s="26"/>
    </row>
    <row r="30" spans="2:15" s="27" customFormat="1" ht="19.5" thickBot="1" x14ac:dyDescent="0.35">
      <c r="B30" s="20"/>
      <c r="C30" s="21"/>
      <c r="D30" s="21" t="s">
        <v>17</v>
      </c>
      <c r="E30" s="38" t="s">
        <v>18</v>
      </c>
      <c r="F30" s="39">
        <f>+F27</f>
        <v>440</v>
      </c>
      <c r="G30" s="40" t="s">
        <v>18</v>
      </c>
      <c r="H30" s="41" t="s">
        <v>18</v>
      </c>
      <c r="I30" s="21"/>
      <c r="J30" s="38">
        <v>1100</v>
      </c>
      <c r="K30" s="42">
        <f>+M30/J30</f>
        <v>592</v>
      </c>
      <c r="L30" s="40"/>
      <c r="M30" s="43">
        <f>M26+M27</f>
        <v>651200</v>
      </c>
      <c r="N30" s="21"/>
      <c r="O30" s="44">
        <f>+O27/4</f>
        <v>822800</v>
      </c>
    </row>
    <row r="31" spans="2:15" x14ac:dyDescent="0.25">
      <c r="O31" t="s">
        <v>19</v>
      </c>
    </row>
    <row r="38" spans="4:10" x14ac:dyDescent="0.25">
      <c r="D38" s="1" t="s">
        <v>198</v>
      </c>
    </row>
    <row r="39" spans="4:10" x14ac:dyDescent="0.25">
      <c r="F39" s="1" t="s">
        <v>199</v>
      </c>
    </row>
    <row r="40" spans="4:10" x14ac:dyDescent="0.25">
      <c r="F40" s="1">
        <v>1400</v>
      </c>
      <c r="G40" s="1">
        <v>12</v>
      </c>
      <c r="H40" s="46">
        <v>15</v>
      </c>
      <c r="I40" s="97" t="s">
        <v>167</v>
      </c>
      <c r="J40" s="46">
        <f>F40*G40*H40</f>
        <v>252000</v>
      </c>
    </row>
    <row r="42" spans="4:10" x14ac:dyDescent="0.25">
      <c r="F42" s="1" t="s">
        <v>200</v>
      </c>
    </row>
    <row r="43" spans="4:10" x14ac:dyDescent="0.25">
      <c r="F43" s="1">
        <v>2000</v>
      </c>
      <c r="G43" s="1">
        <v>0.08</v>
      </c>
      <c r="H43" s="8">
        <f>+G43*F43</f>
        <v>160</v>
      </c>
    </row>
    <row r="44" spans="4:10" x14ac:dyDescent="0.25">
      <c r="F44" s="1">
        <v>800</v>
      </c>
      <c r="G44" s="1">
        <v>0.1</v>
      </c>
      <c r="H44" s="8">
        <f>G44*F44</f>
        <v>80</v>
      </c>
    </row>
    <row r="45" spans="4:10" x14ac:dyDescent="0.25">
      <c r="F45" s="1">
        <f>(O27/1000)-(F43+F44)</f>
        <v>491.19999999999982</v>
      </c>
      <c r="G45" s="1">
        <v>0.15</v>
      </c>
      <c r="H45" s="8">
        <f>G45*F45</f>
        <v>73.679999999999964</v>
      </c>
    </row>
    <row r="46" spans="4:10" x14ac:dyDescent="0.25">
      <c r="J46" s="1">
        <f>(H43+H44+H45)*1000</f>
        <v>313679.99999999994</v>
      </c>
    </row>
    <row r="48" spans="4:10" x14ac:dyDescent="0.25">
      <c r="F48" s="1" t="s">
        <v>201</v>
      </c>
    </row>
    <row r="49" spans="6:10" x14ac:dyDescent="0.25">
      <c r="F49" s="1">
        <f>+O27/1000</f>
        <v>3291.2</v>
      </c>
      <c r="G49" s="1">
        <v>0.02</v>
      </c>
      <c r="J49" s="1">
        <f>(G49*F49)*1000</f>
        <v>65824</v>
      </c>
    </row>
    <row r="50" spans="6:10" ht="15.75" thickBot="1" x14ac:dyDescent="0.3">
      <c r="J50" s="45"/>
    </row>
    <row r="51" spans="6:10" ht="15.75" thickTop="1" x14ac:dyDescent="0.25"/>
    <row r="52" spans="6:10" x14ac:dyDescent="0.25">
      <c r="J52" s="46">
        <f>J49+J46+J40</f>
        <v>631504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H47"/>
  <sheetViews>
    <sheetView topLeftCell="A8" workbookViewId="0">
      <selection activeCell="F27" sqref="F27"/>
    </sheetView>
  </sheetViews>
  <sheetFormatPr baseColWidth="10" defaultRowHeight="15" x14ac:dyDescent="0.25"/>
  <cols>
    <col min="5" max="8" width="11.42578125" style="1"/>
  </cols>
  <sheetData>
    <row r="10" spans="3:6" x14ac:dyDescent="0.25">
      <c r="C10" s="69"/>
      <c r="D10" s="70"/>
      <c r="E10" s="222"/>
      <c r="F10" s="215"/>
    </row>
    <row r="11" spans="3:6" x14ac:dyDescent="0.25">
      <c r="C11" s="68"/>
      <c r="D11" s="75"/>
      <c r="E11" s="223" t="s">
        <v>0</v>
      </c>
      <c r="F11" s="216" t="s">
        <v>1</v>
      </c>
    </row>
    <row r="12" spans="3:6" x14ac:dyDescent="0.25">
      <c r="E12" s="224"/>
    </row>
    <row r="13" spans="3:6" x14ac:dyDescent="0.25">
      <c r="C13" s="69" t="s">
        <v>20</v>
      </c>
      <c r="D13" s="70"/>
      <c r="E13" s="222">
        <v>6000</v>
      </c>
      <c r="F13" s="215">
        <v>1100</v>
      </c>
    </row>
    <row r="14" spans="3:6" x14ac:dyDescent="0.25">
      <c r="C14" s="73"/>
      <c r="D14" s="74"/>
      <c r="E14" s="224"/>
      <c r="F14" s="217"/>
    </row>
    <row r="15" spans="3:6" x14ac:dyDescent="0.25">
      <c r="C15" s="73" t="s">
        <v>21</v>
      </c>
      <c r="D15" s="74"/>
      <c r="E15" s="224">
        <v>1500</v>
      </c>
      <c r="F15" s="217">
        <v>100</v>
      </c>
    </row>
    <row r="16" spans="3:6" x14ac:dyDescent="0.25">
      <c r="C16" s="73"/>
      <c r="D16" s="74"/>
      <c r="E16" s="224"/>
      <c r="F16" s="217"/>
    </row>
    <row r="17" spans="3:6" x14ac:dyDescent="0.25">
      <c r="C17" s="218" t="s">
        <v>25</v>
      </c>
      <c r="D17" s="74"/>
      <c r="E17" s="224">
        <f>E13+E15</f>
        <v>7500</v>
      </c>
      <c r="F17" s="217">
        <f>F13+F15</f>
        <v>1200</v>
      </c>
    </row>
    <row r="18" spans="3:6" x14ac:dyDescent="0.25">
      <c r="C18" s="73"/>
      <c r="D18" s="74"/>
      <c r="E18" s="224"/>
      <c r="F18" s="217"/>
    </row>
    <row r="19" spans="3:6" x14ac:dyDescent="0.25">
      <c r="C19" s="218" t="s">
        <v>22</v>
      </c>
      <c r="D19" s="74"/>
      <c r="E19" s="224">
        <v>-140</v>
      </c>
      <c r="F19" s="217">
        <v>-50</v>
      </c>
    </row>
    <row r="20" spans="3:6" ht="15.75" thickBot="1" x14ac:dyDescent="0.3">
      <c r="C20" s="73"/>
      <c r="D20" s="74"/>
      <c r="E20" s="225"/>
      <c r="F20" s="219"/>
    </row>
    <row r="21" spans="3:6" ht="15.75" thickTop="1" x14ac:dyDescent="0.25">
      <c r="C21" s="73"/>
      <c r="D21" s="74"/>
      <c r="E21" s="224"/>
      <c r="F21" s="217"/>
    </row>
    <row r="22" spans="3:6" x14ac:dyDescent="0.25">
      <c r="C22" s="73" t="s">
        <v>26</v>
      </c>
      <c r="D22" s="74"/>
      <c r="E22" s="224">
        <f>+E17+E19</f>
        <v>7360</v>
      </c>
      <c r="F22" s="220">
        <f>+F17+F19</f>
        <v>1150</v>
      </c>
    </row>
    <row r="23" spans="3:6" x14ac:dyDescent="0.25">
      <c r="C23" s="73"/>
      <c r="D23" s="74"/>
      <c r="E23" s="224"/>
      <c r="F23" s="217"/>
    </row>
    <row r="24" spans="3:6" x14ac:dyDescent="0.25">
      <c r="C24" s="73" t="s">
        <v>27</v>
      </c>
      <c r="D24" s="74"/>
      <c r="E24" s="224"/>
      <c r="F24" s="217"/>
    </row>
    <row r="25" spans="3:6" x14ac:dyDescent="0.25">
      <c r="C25" s="68" t="s">
        <v>23</v>
      </c>
      <c r="D25" s="75"/>
      <c r="E25" s="226">
        <v>6500</v>
      </c>
      <c r="F25" s="216">
        <v>1250</v>
      </c>
    </row>
    <row r="26" spans="3:6" x14ac:dyDescent="0.25">
      <c r="C26" s="69"/>
      <c r="D26" s="70"/>
      <c r="E26" s="222"/>
      <c r="F26" s="215"/>
    </row>
    <row r="27" spans="3:6" x14ac:dyDescent="0.25">
      <c r="C27" s="73" t="s">
        <v>24</v>
      </c>
      <c r="D27" s="74"/>
      <c r="E27" s="227">
        <f>+E25</f>
        <v>6500</v>
      </c>
      <c r="F27" s="220">
        <f>+F22</f>
        <v>1150</v>
      </c>
    </row>
    <row r="28" spans="3:6" x14ac:dyDescent="0.25">
      <c r="C28" s="68"/>
      <c r="D28" s="75"/>
      <c r="E28" s="223"/>
      <c r="F28" s="216"/>
    </row>
    <row r="30" spans="3:6" x14ac:dyDescent="0.25">
      <c r="C30">
        <v>487680</v>
      </c>
      <c r="D30">
        <v>0.15</v>
      </c>
      <c r="E30" s="1">
        <f>D47</f>
        <v>73680</v>
      </c>
    </row>
    <row r="31" spans="3:6" x14ac:dyDescent="0.25">
      <c r="E31" s="1">
        <v>80000</v>
      </c>
    </row>
    <row r="32" spans="3:6" x14ac:dyDescent="0.25">
      <c r="C32">
        <v>2000000</v>
      </c>
      <c r="D32">
        <v>0.08</v>
      </c>
      <c r="E32" s="1">
        <f>+D32*C32</f>
        <v>160000</v>
      </c>
    </row>
    <row r="33" spans="4:5" x14ac:dyDescent="0.25">
      <c r="E33" s="1">
        <f>E32+E31+E30</f>
        <v>313680</v>
      </c>
    </row>
    <row r="36" spans="4:5" x14ac:dyDescent="0.25">
      <c r="D36">
        <v>2640000</v>
      </c>
    </row>
    <row r="37" spans="4:5" x14ac:dyDescent="0.25">
      <c r="D37">
        <v>3291200</v>
      </c>
    </row>
    <row r="39" spans="4:5" x14ac:dyDescent="0.25">
      <c r="D39">
        <f>+D36+D37</f>
        <v>5931200</v>
      </c>
    </row>
    <row r="43" spans="4:5" x14ac:dyDescent="0.25">
      <c r="D43">
        <v>2800000</v>
      </c>
    </row>
    <row r="45" spans="4:5" x14ac:dyDescent="0.25">
      <c r="D45">
        <v>491200</v>
      </c>
    </row>
    <row r="46" spans="4:5" x14ac:dyDescent="0.25">
      <c r="D46">
        <v>0.15</v>
      </c>
    </row>
    <row r="47" spans="4:5" x14ac:dyDescent="0.25">
      <c r="D47">
        <f>+D45*D46</f>
        <v>73680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opLeftCell="A9" workbookViewId="0">
      <selection activeCell="F16" sqref="F16"/>
    </sheetView>
  </sheetViews>
  <sheetFormatPr baseColWidth="10" defaultRowHeight="15" x14ac:dyDescent="0.25"/>
  <cols>
    <col min="3" max="3" width="15" customWidth="1"/>
    <col min="4" max="5" width="11.42578125" style="46"/>
    <col min="6" max="6" width="14.140625" style="46" bestFit="1" customWidth="1"/>
    <col min="7" max="8" width="11.42578125" style="46"/>
    <col min="9" max="9" width="13.42578125" style="46" customWidth="1"/>
    <col min="10" max="10" width="11.42578125" style="47"/>
  </cols>
  <sheetData>
    <row r="2" spans="2:9" x14ac:dyDescent="0.25">
      <c r="F2" s="46" t="s">
        <v>38</v>
      </c>
    </row>
    <row r="3" spans="2:9" x14ac:dyDescent="0.25">
      <c r="G3" s="46" t="s">
        <v>39</v>
      </c>
      <c r="I3" s="46" t="s">
        <v>40</v>
      </c>
    </row>
    <row r="5" spans="2:9" x14ac:dyDescent="0.25">
      <c r="D5" s="46" t="s">
        <v>28</v>
      </c>
    </row>
    <row r="8" spans="2:9" ht="15.75" thickBot="1" x14ac:dyDescent="0.3"/>
    <row r="9" spans="2:9" ht="15.75" thickBot="1" x14ac:dyDescent="0.3">
      <c r="D9" s="48"/>
      <c r="E9" s="49" t="s">
        <v>29</v>
      </c>
      <c r="F9" s="50"/>
      <c r="G9" s="48"/>
      <c r="H9" s="49" t="s">
        <v>30</v>
      </c>
      <c r="I9" s="50"/>
    </row>
    <row r="11" spans="2:9" x14ac:dyDescent="0.25">
      <c r="D11" s="51" t="s">
        <v>1</v>
      </c>
      <c r="E11" s="51" t="s">
        <v>32</v>
      </c>
      <c r="F11" s="51" t="s">
        <v>33</v>
      </c>
      <c r="G11" s="51" t="s">
        <v>1</v>
      </c>
      <c r="H11" s="51" t="s">
        <v>32</v>
      </c>
      <c r="I11" s="51" t="s">
        <v>33</v>
      </c>
    </row>
    <row r="13" spans="2:9" x14ac:dyDescent="0.25">
      <c r="B13" s="69"/>
      <c r="C13" s="70"/>
      <c r="D13" s="55"/>
      <c r="E13" s="56"/>
      <c r="F13" s="56"/>
      <c r="G13" s="56"/>
      <c r="H13" s="56"/>
      <c r="I13" s="57"/>
    </row>
    <row r="14" spans="2:9" x14ac:dyDescent="0.25">
      <c r="B14" s="71" t="s">
        <v>31</v>
      </c>
      <c r="C14" s="72" t="s">
        <v>35</v>
      </c>
      <c r="D14" s="58">
        <f>+pr_prod!E27</f>
        <v>6500</v>
      </c>
      <c r="E14" s="59">
        <v>20</v>
      </c>
      <c r="F14" s="59">
        <f>+D14*E14</f>
        <v>130000</v>
      </c>
      <c r="G14" s="59">
        <f>+D14</f>
        <v>6500</v>
      </c>
      <c r="H14" s="59">
        <v>5</v>
      </c>
      <c r="I14" s="60">
        <f>+G14*H14</f>
        <v>32500</v>
      </c>
    </row>
    <row r="15" spans="2:9" x14ac:dyDescent="0.25">
      <c r="B15" s="73"/>
      <c r="C15" s="72"/>
      <c r="D15" s="58"/>
      <c r="E15" s="59" t="s">
        <v>34</v>
      </c>
      <c r="F15" s="59"/>
      <c r="G15" s="59"/>
      <c r="H15" s="59" t="str">
        <f>+E15</f>
        <v>ENONCE</v>
      </c>
      <c r="I15" s="60"/>
    </row>
    <row r="16" spans="2:9" x14ac:dyDescent="0.25">
      <c r="B16" s="73"/>
      <c r="C16" s="72"/>
      <c r="D16" s="58"/>
      <c r="E16" s="59"/>
      <c r="F16" s="59"/>
      <c r="G16" s="59"/>
      <c r="H16" s="59"/>
      <c r="I16" s="60"/>
    </row>
    <row r="17" spans="2:10" x14ac:dyDescent="0.25">
      <c r="B17" s="73"/>
      <c r="C17" s="72"/>
      <c r="D17" s="58"/>
      <c r="E17" s="59"/>
      <c r="F17" s="59"/>
      <c r="G17" s="59"/>
      <c r="H17" s="59"/>
      <c r="I17" s="60"/>
    </row>
    <row r="18" spans="2:10" x14ac:dyDescent="0.25">
      <c r="B18" s="73"/>
      <c r="C18" s="72"/>
      <c r="D18" s="58"/>
      <c r="E18" s="59"/>
      <c r="F18" s="59"/>
      <c r="G18" s="59"/>
      <c r="H18" s="59"/>
      <c r="I18" s="60"/>
    </row>
    <row r="19" spans="2:10" x14ac:dyDescent="0.25">
      <c r="B19" s="73"/>
      <c r="C19" s="72" t="s">
        <v>36</v>
      </c>
      <c r="D19" s="58">
        <f>+pr_prod!F27</f>
        <v>1150</v>
      </c>
      <c r="E19" s="59">
        <v>20</v>
      </c>
      <c r="F19" s="59">
        <f>+D19*E19</f>
        <v>23000</v>
      </c>
      <c r="G19" s="59">
        <f>+D19</f>
        <v>1150</v>
      </c>
      <c r="H19" s="59">
        <v>7</v>
      </c>
      <c r="I19" s="60">
        <f>+G19*H19</f>
        <v>8050</v>
      </c>
    </row>
    <row r="20" spans="2:10" x14ac:dyDescent="0.25">
      <c r="B20" s="73"/>
      <c r="C20" s="74"/>
      <c r="D20" s="58"/>
      <c r="E20" s="59" t="str">
        <f>+E15</f>
        <v>ENONCE</v>
      </c>
      <c r="F20" s="59"/>
      <c r="G20" s="59"/>
      <c r="H20" s="59" t="str">
        <f>+E20</f>
        <v>ENONCE</v>
      </c>
      <c r="I20" s="60"/>
    </row>
    <row r="21" spans="2:10" x14ac:dyDescent="0.25">
      <c r="B21" s="68"/>
      <c r="C21" s="75"/>
      <c r="D21" s="61"/>
      <c r="E21" s="62"/>
      <c r="F21" s="62"/>
      <c r="G21" s="62"/>
      <c r="H21" s="62"/>
      <c r="I21" s="63"/>
    </row>
    <row r="22" spans="2:10" x14ac:dyDescent="0.25">
      <c r="D22" s="58"/>
      <c r="E22" s="59"/>
      <c r="F22" s="59"/>
      <c r="G22" s="59"/>
      <c r="H22" s="59"/>
      <c r="I22" s="60"/>
    </row>
    <row r="23" spans="2:10" s="27" customFormat="1" ht="21" x14ac:dyDescent="0.45">
      <c r="B23" s="228"/>
      <c r="C23" s="229" t="s">
        <v>37</v>
      </c>
      <c r="D23" s="230"/>
      <c r="E23" s="231"/>
      <c r="F23" s="232">
        <v>9000</v>
      </c>
      <c r="G23" s="231"/>
      <c r="H23" s="231"/>
      <c r="I23" s="233">
        <v>1100</v>
      </c>
      <c r="J23" s="234"/>
    </row>
    <row r="24" spans="2:10" x14ac:dyDescent="0.25">
      <c r="B24" s="73"/>
      <c r="C24" s="74"/>
      <c r="D24" s="58"/>
      <c r="E24" s="59"/>
      <c r="F24" s="59"/>
      <c r="G24" s="59"/>
      <c r="H24" s="59"/>
      <c r="I24" s="60"/>
    </row>
    <row r="25" spans="2:10" x14ac:dyDescent="0.25">
      <c r="B25" s="73"/>
      <c r="C25" s="76" t="s">
        <v>25</v>
      </c>
      <c r="D25" s="58"/>
      <c r="E25" s="59"/>
      <c r="F25" s="59">
        <f>F23+F19+F14</f>
        <v>162000</v>
      </c>
      <c r="G25" s="59"/>
      <c r="H25" s="59"/>
      <c r="I25" s="60">
        <f>I23+I19+I14</f>
        <v>41650</v>
      </c>
    </row>
    <row r="26" spans="2:10" x14ac:dyDescent="0.25">
      <c r="B26" s="73"/>
      <c r="C26" s="74"/>
      <c r="D26" s="58"/>
      <c r="E26" s="59"/>
      <c r="F26" s="59"/>
      <c r="G26" s="59"/>
      <c r="H26" s="59"/>
      <c r="I26" s="60"/>
    </row>
    <row r="27" spans="2:10" x14ac:dyDescent="0.25">
      <c r="B27" s="73"/>
      <c r="C27" s="76" t="s">
        <v>22</v>
      </c>
      <c r="D27" s="58"/>
      <c r="E27" s="59"/>
      <c r="F27" s="59">
        <v>5000</v>
      </c>
      <c r="G27" s="59"/>
      <c r="H27" s="59"/>
      <c r="I27" s="60">
        <v>5000</v>
      </c>
    </row>
    <row r="28" spans="2:10" x14ac:dyDescent="0.25">
      <c r="B28" s="73"/>
      <c r="C28" s="74"/>
      <c r="D28" s="58"/>
      <c r="E28" s="59"/>
      <c r="F28" s="59"/>
      <c r="G28" s="59"/>
      <c r="H28" s="59"/>
      <c r="I28" s="60"/>
    </row>
    <row r="29" spans="2:10" s="54" customFormat="1" ht="18.75" x14ac:dyDescent="0.3">
      <c r="B29" s="77"/>
      <c r="C29" s="64" t="s">
        <v>41</v>
      </c>
      <c r="D29" s="65"/>
      <c r="E29" s="66"/>
      <c r="F29" s="66">
        <f>F25-F27</f>
        <v>157000</v>
      </c>
      <c r="G29" s="66"/>
      <c r="H29" s="66"/>
      <c r="I29" s="67">
        <f>I25-I27</f>
        <v>36650</v>
      </c>
      <c r="J29" s="53"/>
    </row>
    <row r="30" spans="2:10" x14ac:dyDescent="0.25">
      <c r="B30" s="68"/>
      <c r="C30" s="68"/>
      <c r="D30" s="61"/>
      <c r="E30" s="62"/>
      <c r="F30" s="62"/>
      <c r="G30" s="62"/>
      <c r="H30" s="62"/>
      <c r="I30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9"/>
  <sheetViews>
    <sheetView topLeftCell="A87" zoomScale="110" zoomScaleNormal="110" workbookViewId="0">
      <selection activeCell="F98" sqref="F98:H98"/>
    </sheetView>
  </sheetViews>
  <sheetFormatPr baseColWidth="10" defaultRowHeight="21" x14ac:dyDescent="0.35"/>
  <cols>
    <col min="1" max="1" width="13.7109375" style="94" customWidth="1"/>
    <col min="2" max="2" width="9" style="1" customWidth="1"/>
    <col min="3" max="3" width="9.85546875" style="243" customWidth="1"/>
    <col min="4" max="4" width="10.42578125" style="46" customWidth="1"/>
    <col min="5" max="5" width="11.85546875" style="46" customWidth="1"/>
    <col min="6" max="6" width="16.85546875" style="46" customWidth="1"/>
    <col min="7" max="7" width="24.42578125" style="102" customWidth="1"/>
    <col min="8" max="8" width="16.7109375" style="46" customWidth="1"/>
    <col min="9" max="9" width="13.42578125" style="46" customWidth="1"/>
    <col min="10" max="10" width="16.85546875" style="46" customWidth="1"/>
    <col min="11" max="11" width="22.42578125" style="90" bestFit="1" customWidth="1"/>
    <col min="12" max="12" width="16.85546875" style="46" customWidth="1"/>
    <col min="13" max="13" width="1.28515625" style="46" customWidth="1"/>
    <col min="14" max="14" width="4" style="46" customWidth="1"/>
    <col min="15" max="15" width="15.42578125" style="192" bestFit="1" customWidth="1"/>
    <col min="16" max="16" width="12.28515625" bestFit="1" customWidth="1"/>
    <col min="17" max="17" width="12.7109375" bestFit="1" customWidth="1"/>
  </cols>
  <sheetData>
    <row r="2" spans="4:12" x14ac:dyDescent="0.35">
      <c r="H2" s="46" t="s">
        <v>124</v>
      </c>
    </row>
    <row r="4" spans="4:12" ht="21.75" thickBot="1" x14ac:dyDescent="0.4">
      <c r="E4" s="46" t="s">
        <v>159</v>
      </c>
    </row>
    <row r="5" spans="4:12" ht="21.75" thickBot="1" x14ac:dyDescent="0.4">
      <c r="D5" s="308" t="s">
        <v>160</v>
      </c>
      <c r="E5" s="48" t="s">
        <v>35</v>
      </c>
      <c r="F5" s="309" t="s">
        <v>168</v>
      </c>
      <c r="G5" s="310"/>
    </row>
    <row r="6" spans="4:12" ht="21.75" thickBot="1" x14ac:dyDescent="0.4">
      <c r="D6" s="308"/>
      <c r="F6" s="305" t="s">
        <v>164</v>
      </c>
      <c r="I6" s="46" t="s">
        <v>161</v>
      </c>
      <c r="K6" s="90" t="s">
        <v>163</v>
      </c>
      <c r="L6" s="307">
        <v>0.2</v>
      </c>
    </row>
    <row r="7" spans="4:12" ht="21.75" thickBot="1" x14ac:dyDescent="0.4">
      <c r="D7" s="308" t="s">
        <v>162</v>
      </c>
      <c r="E7" s="48" t="s">
        <v>36</v>
      </c>
      <c r="F7" s="49"/>
      <c r="G7" s="310"/>
    </row>
    <row r="9" spans="4:12" x14ac:dyDescent="0.35">
      <c r="H9" s="46" t="s">
        <v>123</v>
      </c>
    </row>
    <row r="11" spans="4:12" x14ac:dyDescent="0.35">
      <c r="E11" s="84">
        <f>+F32-F63</f>
        <v>9000</v>
      </c>
      <c r="F11" s="311" t="s">
        <v>167</v>
      </c>
      <c r="G11" s="315">
        <f>0.6*4000</f>
        <v>2400</v>
      </c>
      <c r="H11" s="55">
        <f>0.6*20</f>
        <v>12</v>
      </c>
      <c r="I11" s="312" t="s">
        <v>169</v>
      </c>
      <c r="J11" s="55">
        <f>0.6*50*20</f>
        <v>600</v>
      </c>
      <c r="K11" s="118"/>
    </row>
    <row r="12" spans="4:12" x14ac:dyDescent="0.35">
      <c r="E12" s="89"/>
      <c r="G12" s="316" t="s">
        <v>173</v>
      </c>
      <c r="H12" s="313" t="s">
        <v>170</v>
      </c>
      <c r="I12" s="314" t="s">
        <v>171</v>
      </c>
      <c r="J12" s="313" t="s">
        <v>170</v>
      </c>
      <c r="K12" s="314" t="s">
        <v>172</v>
      </c>
    </row>
    <row r="13" spans="4:12" x14ac:dyDescent="0.35">
      <c r="G13" s="102" t="s">
        <v>174</v>
      </c>
    </row>
    <row r="14" spans="4:12" x14ac:dyDescent="0.35">
      <c r="E14" s="51">
        <f>E11-G11-J11</f>
        <v>6000</v>
      </c>
      <c r="F14" s="311" t="s">
        <v>167</v>
      </c>
      <c r="I14" s="51" t="s">
        <v>175</v>
      </c>
    </row>
    <row r="15" spans="4:12" x14ac:dyDescent="0.35">
      <c r="E15" s="51">
        <f>E14/H11</f>
        <v>500</v>
      </c>
      <c r="F15" s="311" t="s">
        <v>167</v>
      </c>
      <c r="I15" s="51" t="s">
        <v>169</v>
      </c>
    </row>
    <row r="17" spans="1:26" s="214" customFormat="1" ht="26.25" x14ac:dyDescent="0.4">
      <c r="A17" s="181"/>
      <c r="B17" s="208"/>
      <c r="C17" s="243"/>
      <c r="D17" s="209"/>
      <c r="E17" s="182"/>
      <c r="F17" s="210" t="s">
        <v>42</v>
      </c>
      <c r="G17" s="211"/>
      <c r="H17" s="209"/>
      <c r="I17" s="209"/>
      <c r="J17" s="209"/>
      <c r="K17" s="212"/>
      <c r="L17" s="209"/>
      <c r="M17" s="209"/>
      <c r="N17" s="209"/>
      <c r="O17" s="213"/>
    </row>
    <row r="19" spans="1:26" s="54" customFormat="1" ht="18.75" x14ac:dyDescent="0.3">
      <c r="A19" s="173"/>
      <c r="B19" s="22"/>
      <c r="C19" s="244"/>
      <c r="D19" s="65"/>
      <c r="E19" s="65"/>
      <c r="F19" s="66" t="s">
        <v>45</v>
      </c>
      <c r="G19" s="237" t="s">
        <v>46</v>
      </c>
      <c r="H19" s="67"/>
      <c r="I19" s="238"/>
      <c r="J19" s="238" t="s">
        <v>45</v>
      </c>
      <c r="K19" s="239" t="s">
        <v>30</v>
      </c>
      <c r="L19" s="240"/>
      <c r="M19" s="241"/>
      <c r="N19" s="241"/>
      <c r="O19" s="242"/>
    </row>
    <row r="20" spans="1:26" x14ac:dyDescent="0.35">
      <c r="D20" s="58"/>
      <c r="E20" s="55"/>
      <c r="F20" s="56"/>
      <c r="G20" s="103"/>
      <c r="H20" s="57"/>
      <c r="I20" s="56"/>
      <c r="J20" s="56"/>
      <c r="K20" s="91"/>
      <c r="L20" s="57"/>
      <c r="O20" s="194"/>
    </row>
    <row r="21" spans="1:26" x14ac:dyDescent="0.35">
      <c r="D21" s="58" t="s">
        <v>1</v>
      </c>
      <c r="E21" s="58" t="s">
        <v>43</v>
      </c>
      <c r="F21" s="59" t="s">
        <v>33</v>
      </c>
      <c r="G21" s="104" t="s">
        <v>44</v>
      </c>
      <c r="H21" s="60" t="s">
        <v>33</v>
      </c>
      <c r="I21" s="59" t="s">
        <v>43</v>
      </c>
      <c r="J21" s="59" t="s">
        <v>33</v>
      </c>
      <c r="K21" s="92" t="s">
        <v>44</v>
      </c>
      <c r="L21" s="60" t="s">
        <v>33</v>
      </c>
      <c r="O21" s="194" t="s">
        <v>53</v>
      </c>
    </row>
    <row r="22" spans="1:26" x14ac:dyDescent="0.35">
      <c r="D22" s="58"/>
      <c r="E22" s="58" t="s">
        <v>12</v>
      </c>
      <c r="F22" s="59" t="s">
        <v>64</v>
      </c>
      <c r="G22" s="104"/>
      <c r="H22" s="60"/>
      <c r="I22" s="59" t="s">
        <v>8</v>
      </c>
      <c r="J22" s="59" t="s">
        <v>64</v>
      </c>
      <c r="K22" s="92"/>
      <c r="L22" s="60"/>
      <c r="O22" s="194"/>
    </row>
    <row r="23" spans="1:26" s="70" customFormat="1" x14ac:dyDescent="0.35">
      <c r="A23" s="111"/>
      <c r="B23" s="78"/>
      <c r="C23" s="245"/>
      <c r="D23" s="55"/>
      <c r="E23" s="55"/>
      <c r="F23" s="56"/>
      <c r="G23" s="103"/>
      <c r="H23" s="57"/>
      <c r="I23" s="56"/>
      <c r="J23" s="56"/>
      <c r="K23" s="91"/>
      <c r="L23" s="56"/>
      <c r="M23" s="56"/>
      <c r="N23" s="56"/>
      <c r="O23" s="193"/>
    </row>
    <row r="24" spans="1:26" s="74" customFormat="1" x14ac:dyDescent="0.35">
      <c r="A24" s="112"/>
      <c r="B24" s="80" t="s">
        <v>65</v>
      </c>
      <c r="C24" s="246" t="s">
        <v>68</v>
      </c>
      <c r="D24" s="58"/>
      <c r="E24" s="58"/>
      <c r="F24" s="59">
        <f>pr_appro!F29</f>
        <v>157000</v>
      </c>
      <c r="G24" s="104"/>
      <c r="H24" s="60"/>
      <c r="I24" s="59"/>
      <c r="J24" s="59">
        <f>+pr_appro!I29</f>
        <v>36650</v>
      </c>
      <c r="K24" s="92">
        <v>-3900</v>
      </c>
      <c r="L24" s="59">
        <f>+J24+K24</f>
        <v>32750</v>
      </c>
      <c r="M24" s="59"/>
      <c r="N24" s="59"/>
      <c r="O24" s="194"/>
      <c r="Q24" s="117"/>
    </row>
    <row r="25" spans="1:26" s="74" customFormat="1" x14ac:dyDescent="0.35">
      <c r="A25" s="112" t="s">
        <v>72</v>
      </c>
      <c r="B25" s="80"/>
      <c r="C25" s="246"/>
      <c r="D25" s="58"/>
      <c r="E25" s="58"/>
      <c r="F25" s="59"/>
      <c r="G25" s="104"/>
      <c r="H25" s="60"/>
      <c r="I25" s="59"/>
      <c r="J25" s="59"/>
      <c r="K25" s="92"/>
      <c r="L25" s="59"/>
      <c r="M25" s="59"/>
      <c r="N25" s="59"/>
      <c r="O25" s="194"/>
    </row>
    <row r="26" spans="1:26" s="74" customFormat="1" x14ac:dyDescent="0.35">
      <c r="A26" s="95"/>
      <c r="B26" s="113" t="s">
        <v>66</v>
      </c>
      <c r="C26" s="245">
        <v>0.6</v>
      </c>
      <c r="D26" s="55"/>
      <c r="E26" s="55"/>
      <c r="F26" s="56">
        <f>F24*C26</f>
        <v>94200</v>
      </c>
      <c r="G26" s="103"/>
      <c r="H26" s="57"/>
      <c r="I26" s="56"/>
      <c r="J26" s="56">
        <f>J24*C26</f>
        <v>21990</v>
      </c>
      <c r="K26" s="91">
        <v>20430</v>
      </c>
      <c r="L26" s="107">
        <f>0.6*L24</f>
        <v>19650</v>
      </c>
      <c r="M26" s="56"/>
      <c r="N26" s="56"/>
      <c r="O26" s="193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108"/>
    </row>
    <row r="27" spans="1:26" s="74" customFormat="1" x14ac:dyDescent="0.35">
      <c r="A27" s="94" t="s">
        <v>73</v>
      </c>
      <c r="B27" s="114" t="s">
        <v>67</v>
      </c>
      <c r="C27" s="246"/>
      <c r="D27" s="58"/>
      <c r="E27" s="58"/>
      <c r="F27" s="59"/>
      <c r="G27" s="104"/>
      <c r="H27" s="60"/>
      <c r="I27" s="59"/>
      <c r="J27" s="59"/>
      <c r="L27" s="59"/>
      <c r="M27" s="59"/>
      <c r="N27" s="59"/>
      <c r="O27" s="194"/>
      <c r="Z27" s="109"/>
    </row>
    <row r="28" spans="1:26" s="74" customFormat="1" x14ac:dyDescent="0.35">
      <c r="A28" s="94" t="s">
        <v>74</v>
      </c>
      <c r="B28" s="79" t="s">
        <v>69</v>
      </c>
      <c r="C28" s="246">
        <v>0.4</v>
      </c>
      <c r="D28" s="58"/>
      <c r="E28" s="58"/>
      <c r="F28" s="59">
        <f>+F24-F26</f>
        <v>62800</v>
      </c>
      <c r="G28" s="104"/>
      <c r="H28" s="60"/>
      <c r="I28" s="59"/>
      <c r="J28" s="59">
        <f>J24-J26</f>
        <v>14660</v>
      </c>
      <c r="K28" s="92">
        <v>16220</v>
      </c>
      <c r="L28" s="59"/>
      <c r="M28" s="59"/>
      <c r="N28" s="59"/>
      <c r="O28" s="194"/>
      <c r="Z28" s="109"/>
    </row>
    <row r="29" spans="1:26" s="75" customFormat="1" x14ac:dyDescent="0.35">
      <c r="A29" s="96"/>
      <c r="B29" s="81"/>
      <c r="C29" s="247"/>
      <c r="D29" s="61"/>
      <c r="E29" s="61"/>
      <c r="F29" s="62"/>
      <c r="G29" s="106"/>
      <c r="H29" s="63"/>
      <c r="I29" s="62"/>
      <c r="J29" s="62"/>
      <c r="K29" s="93"/>
      <c r="L29" s="62"/>
      <c r="M29" s="62"/>
      <c r="N29" s="62"/>
      <c r="O29" s="195"/>
      <c r="Z29" s="110"/>
    </row>
    <row r="30" spans="1:26" x14ac:dyDescent="0.35">
      <c r="A30" s="95"/>
      <c r="B30" s="78"/>
      <c r="C30" s="245"/>
      <c r="D30" s="55"/>
      <c r="E30" s="55"/>
      <c r="F30" s="56"/>
      <c r="G30" s="103"/>
      <c r="H30" s="57"/>
      <c r="I30" s="56"/>
      <c r="J30" s="56"/>
      <c r="K30" s="91"/>
      <c r="L30" s="56"/>
      <c r="M30" s="56"/>
      <c r="N30" s="56"/>
      <c r="O30" s="193"/>
      <c r="P30" s="70"/>
      <c r="Q30" s="70"/>
      <c r="R30" s="70"/>
      <c r="S30" s="70"/>
      <c r="T30" s="108"/>
    </row>
    <row r="31" spans="1:26" x14ac:dyDescent="0.35">
      <c r="A31" s="94" t="s">
        <v>73</v>
      </c>
      <c r="B31" s="80" t="s">
        <v>5</v>
      </c>
      <c r="C31" s="246" t="s">
        <v>77</v>
      </c>
      <c r="D31" s="58"/>
      <c r="E31" s="58" t="s">
        <v>81</v>
      </c>
      <c r="F31" s="84">
        <f>+F48</f>
        <v>30800</v>
      </c>
      <c r="G31" s="104"/>
      <c r="H31" s="60"/>
      <c r="I31" s="59"/>
      <c r="J31" s="59">
        <f>J43+J44</f>
        <v>8140</v>
      </c>
      <c r="K31" s="92"/>
      <c r="L31" s="59">
        <v>3900</v>
      </c>
      <c r="M31" s="59"/>
      <c r="N31" s="59"/>
      <c r="O31" s="194"/>
      <c r="P31" s="74"/>
      <c r="Q31" s="74"/>
      <c r="R31" s="74"/>
      <c r="S31" s="74"/>
      <c r="T31" s="109"/>
    </row>
    <row r="32" spans="1:26" x14ac:dyDescent="0.35">
      <c r="A32" s="94" t="s">
        <v>75</v>
      </c>
      <c r="B32" s="83" t="s">
        <v>48</v>
      </c>
      <c r="C32" s="171" t="s">
        <v>78</v>
      </c>
      <c r="D32" s="58"/>
      <c r="E32" s="58"/>
      <c r="F32" s="116">
        <f>F26-F31</f>
        <v>63400</v>
      </c>
      <c r="G32" s="104"/>
      <c r="H32" s="60"/>
      <c r="I32" s="59"/>
      <c r="J32" s="59">
        <f>+J26-J31</f>
        <v>13850</v>
      </c>
      <c r="K32" s="92">
        <v>16190</v>
      </c>
      <c r="L32" s="59">
        <f>+K32+J31</f>
        <v>24330</v>
      </c>
      <c r="M32" s="59"/>
      <c r="N32" s="59"/>
      <c r="O32" s="194"/>
      <c r="P32" s="74"/>
      <c r="Q32" s="74"/>
      <c r="R32" s="74"/>
      <c r="S32" s="74"/>
      <c r="T32" s="109"/>
    </row>
    <row r="33" spans="1:20" x14ac:dyDescent="0.35">
      <c r="A33" s="94" t="s">
        <v>76</v>
      </c>
      <c r="B33" s="80" t="s">
        <v>49</v>
      </c>
      <c r="C33" s="246" t="str">
        <f>C31</f>
        <v>avec saiso P et Q</v>
      </c>
      <c r="D33" s="58"/>
      <c r="E33" s="58" t="str">
        <f>E31</f>
        <v xml:space="preserve">calcul à faire </v>
      </c>
      <c r="F33" s="84">
        <v>11500</v>
      </c>
      <c r="G33" s="104"/>
      <c r="H33" s="60"/>
      <c r="I33" s="59"/>
      <c r="J33" s="59"/>
      <c r="K33" s="92"/>
      <c r="L33" s="59">
        <f>+L32-L31</f>
        <v>20430</v>
      </c>
      <c r="M33" s="59"/>
      <c r="N33" s="59"/>
      <c r="O33" s="194"/>
      <c r="P33" s="74"/>
      <c r="Q33" s="74"/>
      <c r="R33" s="74"/>
      <c r="S33" s="74"/>
      <c r="T33" s="109"/>
    </row>
    <row r="34" spans="1:20" x14ac:dyDescent="0.35">
      <c r="B34" s="83" t="s">
        <v>79</v>
      </c>
      <c r="C34" s="171" t="s">
        <v>80</v>
      </c>
      <c r="D34" s="58"/>
      <c r="E34" s="58"/>
      <c r="F34" s="89">
        <f>F28-F33</f>
        <v>51300</v>
      </c>
      <c r="G34" s="104"/>
      <c r="H34" s="60"/>
      <c r="I34" s="59"/>
      <c r="J34" s="59"/>
      <c r="K34" s="92"/>
      <c r="L34" s="59"/>
      <c r="M34" s="59"/>
      <c r="N34" s="59"/>
      <c r="O34" s="194"/>
      <c r="P34" s="74"/>
      <c r="Q34" s="74"/>
      <c r="R34" s="74"/>
      <c r="S34" s="74"/>
      <c r="T34" s="109"/>
    </row>
    <row r="35" spans="1:20" x14ac:dyDescent="0.35">
      <c r="A35" s="96"/>
      <c r="B35" s="82"/>
      <c r="C35" s="247"/>
      <c r="D35" s="61"/>
      <c r="E35" s="61"/>
      <c r="F35" s="62"/>
      <c r="G35" s="106"/>
      <c r="H35" s="63"/>
      <c r="I35" s="62"/>
      <c r="J35" s="62"/>
      <c r="K35" s="93"/>
      <c r="L35" s="62"/>
      <c r="M35" s="62"/>
      <c r="N35" s="62"/>
      <c r="O35" s="195"/>
      <c r="P35" s="75"/>
      <c r="Q35" s="75"/>
      <c r="R35" s="75"/>
      <c r="S35" s="75"/>
      <c r="T35" s="110"/>
    </row>
    <row r="36" spans="1:20" x14ac:dyDescent="0.35">
      <c r="B36" s="80"/>
      <c r="C36" s="246"/>
      <c r="D36" s="58"/>
      <c r="E36" s="58"/>
      <c r="F36" s="59"/>
      <c r="G36" s="104"/>
      <c r="H36" s="60"/>
      <c r="I36" s="59"/>
      <c r="J36" s="59"/>
      <c r="K36" s="92"/>
      <c r="L36" s="59"/>
      <c r="M36" s="59"/>
      <c r="N36" s="59"/>
      <c r="O36" s="194"/>
    </row>
    <row r="37" spans="1:20" x14ac:dyDescent="0.35">
      <c r="B37" s="80"/>
      <c r="C37" s="246"/>
      <c r="D37" s="58"/>
      <c r="E37" s="58"/>
      <c r="F37" s="59"/>
      <c r="G37" s="104"/>
      <c r="H37" s="60"/>
      <c r="I37" s="59"/>
      <c r="J37" s="59"/>
      <c r="K37" s="92"/>
      <c r="L37" s="59"/>
      <c r="M37" s="59"/>
      <c r="N37" s="59"/>
      <c r="O37" s="194"/>
    </row>
    <row r="38" spans="1:20" x14ac:dyDescent="0.35">
      <c r="B38" s="80"/>
      <c r="C38" s="246"/>
      <c r="D38" s="58"/>
      <c r="E38" s="58"/>
      <c r="F38" s="59"/>
      <c r="G38" s="104"/>
      <c r="H38" s="60"/>
      <c r="I38" s="59"/>
      <c r="J38" s="59"/>
      <c r="K38" s="92"/>
      <c r="L38" s="59"/>
      <c r="M38" s="59"/>
      <c r="N38" s="59"/>
      <c r="O38" s="194"/>
    </row>
    <row r="39" spans="1:20" x14ac:dyDescent="0.35">
      <c r="B39" s="80"/>
      <c r="C39" s="246"/>
      <c r="D39" s="58"/>
      <c r="E39" s="58"/>
      <c r="F39" s="59"/>
      <c r="G39" s="104"/>
      <c r="H39" s="60"/>
      <c r="I39" s="59"/>
      <c r="J39" s="59"/>
      <c r="K39" s="92"/>
      <c r="L39" s="59"/>
      <c r="M39" s="59"/>
      <c r="N39" s="59"/>
      <c r="O39" s="194"/>
    </row>
    <row r="40" spans="1:20" x14ac:dyDescent="0.35">
      <c r="B40" s="80"/>
      <c r="C40" s="246"/>
      <c r="D40" s="58"/>
      <c r="E40" s="58"/>
      <c r="F40" s="59"/>
      <c r="G40" s="104"/>
      <c r="H40" s="60"/>
      <c r="I40" s="59"/>
      <c r="J40" s="59"/>
      <c r="K40" s="92"/>
      <c r="L40" s="59"/>
      <c r="M40" s="59"/>
      <c r="N40" s="59"/>
      <c r="O40" s="194"/>
    </row>
    <row r="41" spans="1:20" x14ac:dyDescent="0.35">
      <c r="B41" s="80"/>
      <c r="C41" s="246"/>
      <c r="D41" s="58"/>
      <c r="E41" s="58"/>
      <c r="F41" s="59"/>
      <c r="G41" s="104"/>
      <c r="H41" s="60"/>
      <c r="I41" s="59"/>
      <c r="J41" s="59"/>
      <c r="K41" s="92"/>
      <c r="L41" s="59"/>
      <c r="M41" s="59"/>
      <c r="N41" s="59"/>
      <c r="O41" s="194"/>
    </row>
    <row r="42" spans="1:20" x14ac:dyDescent="0.35">
      <c r="B42" s="80"/>
      <c r="C42" s="246"/>
      <c r="D42" s="58"/>
      <c r="E42" s="58"/>
      <c r="F42" s="59"/>
      <c r="G42" s="104"/>
      <c r="H42" s="60"/>
      <c r="I42" s="59"/>
      <c r="J42" s="59"/>
      <c r="K42" s="92"/>
      <c r="L42" s="59"/>
      <c r="M42" s="59"/>
      <c r="N42" s="59"/>
      <c r="O42" s="194"/>
    </row>
    <row r="43" spans="1:20" x14ac:dyDescent="0.35">
      <c r="A43" s="94" t="s">
        <v>47</v>
      </c>
      <c r="B43" s="80" t="s">
        <v>51</v>
      </c>
      <c r="C43" s="246">
        <v>0.22</v>
      </c>
      <c r="D43" s="58">
        <f>C43*bud_comm!E27</f>
        <v>1320</v>
      </c>
      <c r="E43" s="58">
        <v>20</v>
      </c>
      <c r="F43" s="59">
        <f>+E43*D43</f>
        <v>26400</v>
      </c>
      <c r="G43" s="104"/>
      <c r="H43" s="60"/>
      <c r="I43" s="59">
        <v>5</v>
      </c>
      <c r="J43" s="59">
        <f>+I43*D43</f>
        <v>6600</v>
      </c>
      <c r="K43" s="92"/>
      <c r="L43" s="59"/>
      <c r="M43" s="59"/>
      <c r="N43" s="59"/>
      <c r="O43" s="194"/>
    </row>
    <row r="44" spans="1:20" x14ac:dyDescent="0.35">
      <c r="B44" s="80" t="s">
        <v>52</v>
      </c>
      <c r="C44" s="246">
        <v>0.2</v>
      </c>
      <c r="D44" s="58">
        <f>C44*bud_comm!J26</f>
        <v>220</v>
      </c>
      <c r="E44" s="58">
        <v>20</v>
      </c>
      <c r="F44" s="59">
        <f>E44*D44</f>
        <v>4400</v>
      </c>
      <c r="G44" s="104"/>
      <c r="H44" s="60"/>
      <c r="I44" s="59">
        <v>7</v>
      </c>
      <c r="J44" s="59">
        <f>I44*D44</f>
        <v>1540</v>
      </c>
      <c r="K44" s="92"/>
      <c r="L44" s="59"/>
      <c r="M44" s="59"/>
      <c r="N44" s="59"/>
      <c r="O44" s="194"/>
    </row>
    <row r="45" spans="1:20" x14ac:dyDescent="0.35">
      <c r="B45" s="80"/>
      <c r="C45" s="246"/>
      <c r="D45" s="58"/>
      <c r="E45" s="58"/>
      <c r="F45" s="59"/>
      <c r="G45" s="104"/>
      <c r="H45" s="60"/>
      <c r="I45" s="59"/>
      <c r="J45" s="59"/>
      <c r="K45" s="92"/>
      <c r="L45" s="59"/>
      <c r="M45" s="59"/>
      <c r="N45" s="59"/>
      <c r="O45" s="194"/>
    </row>
    <row r="46" spans="1:20" x14ac:dyDescent="0.35">
      <c r="B46" s="115" t="s">
        <v>85</v>
      </c>
      <c r="C46" s="172"/>
      <c r="D46" s="100"/>
      <c r="E46" s="100"/>
      <c r="F46" s="88"/>
      <c r="G46" s="105"/>
      <c r="H46" s="101"/>
      <c r="I46" s="88"/>
      <c r="J46" s="88">
        <v>-3900</v>
      </c>
      <c r="K46" s="92"/>
      <c r="L46" s="59"/>
      <c r="M46" s="59"/>
      <c r="N46" s="59"/>
      <c r="O46" s="194"/>
    </row>
    <row r="47" spans="1:20" x14ac:dyDescent="0.35">
      <c r="B47" s="80"/>
      <c r="C47" s="246"/>
      <c r="D47" s="58"/>
      <c r="E47" s="58"/>
      <c r="F47" s="59"/>
      <c r="G47" s="104"/>
      <c r="H47" s="60"/>
      <c r="I47" s="59"/>
      <c r="J47" s="59"/>
      <c r="K47" s="92"/>
      <c r="L47" s="59"/>
      <c r="M47" s="59"/>
      <c r="N47" s="59"/>
      <c r="O47" s="194"/>
    </row>
    <row r="48" spans="1:20" s="54" customFormat="1" ht="18.75" x14ac:dyDescent="0.3">
      <c r="A48" s="173"/>
      <c r="B48" s="174" t="s">
        <v>62</v>
      </c>
      <c r="C48" s="172"/>
      <c r="D48" s="175"/>
      <c r="E48" s="175"/>
      <c r="F48" s="176">
        <f>+F43+F44</f>
        <v>30800</v>
      </c>
      <c r="G48" s="177">
        <v>1.1000000000000001</v>
      </c>
      <c r="H48" s="178">
        <f>F48*G48</f>
        <v>33880</v>
      </c>
      <c r="I48" s="176"/>
      <c r="J48" s="176">
        <f>SUM(J43:J46)</f>
        <v>4240</v>
      </c>
      <c r="K48" s="179">
        <v>2.4</v>
      </c>
      <c r="L48" s="176">
        <f>J48*K48</f>
        <v>10176</v>
      </c>
      <c r="M48" s="176"/>
      <c r="N48" s="176"/>
      <c r="O48" s="196">
        <f>+L48+H48</f>
        <v>44056</v>
      </c>
      <c r="Q48" s="53"/>
    </row>
    <row r="49" spans="1:16" x14ac:dyDescent="0.35">
      <c r="B49" s="80"/>
      <c r="C49" s="246"/>
      <c r="D49" s="58"/>
      <c r="E49" s="58"/>
      <c r="F49" s="59"/>
      <c r="G49" s="104"/>
      <c r="H49" s="60"/>
      <c r="I49" s="59"/>
      <c r="J49" s="59"/>
      <c r="K49" s="92"/>
      <c r="L49" s="59"/>
      <c r="M49" s="59"/>
      <c r="N49" s="59"/>
      <c r="O49" s="194"/>
    </row>
    <row r="50" spans="1:16" x14ac:dyDescent="0.35">
      <c r="A50" s="96"/>
      <c r="B50" s="82"/>
      <c r="C50" s="247"/>
      <c r="D50" s="61"/>
      <c r="E50" s="61"/>
      <c r="F50" s="62"/>
      <c r="G50" s="106"/>
      <c r="H50" s="63"/>
      <c r="I50" s="62"/>
      <c r="J50" s="62"/>
      <c r="K50" s="93"/>
      <c r="L50" s="62"/>
      <c r="M50" s="62"/>
      <c r="N50" s="62"/>
      <c r="O50" s="195"/>
    </row>
    <row r="51" spans="1:16" x14ac:dyDescent="0.35">
      <c r="D51" s="58"/>
      <c r="E51" s="58"/>
      <c r="F51" s="59"/>
      <c r="G51" s="104"/>
      <c r="H51" s="60"/>
      <c r="O51" s="194"/>
    </row>
    <row r="52" spans="1:16" x14ac:dyDescent="0.35">
      <c r="A52" s="94" t="s">
        <v>48</v>
      </c>
      <c r="B52" s="1" t="s">
        <v>54</v>
      </c>
      <c r="C52" s="269">
        <v>0.18</v>
      </c>
      <c r="D52" s="58">
        <f>C52*bud_comm!E27</f>
        <v>1080</v>
      </c>
      <c r="E52" s="58">
        <v>20</v>
      </c>
      <c r="F52" s="59">
        <f>+E52*D52</f>
        <v>21600</v>
      </c>
      <c r="G52" s="104"/>
      <c r="H52" s="60"/>
      <c r="I52" s="59">
        <v>5</v>
      </c>
      <c r="J52" s="59">
        <f>+D52*I52</f>
        <v>5400</v>
      </c>
      <c r="O52" s="194"/>
    </row>
    <row r="53" spans="1:16" x14ac:dyDescent="0.35">
      <c r="B53" s="1" t="s">
        <v>52</v>
      </c>
      <c r="C53" s="269">
        <v>0.35</v>
      </c>
      <c r="D53" s="58">
        <f>C53*bud_comm!J26</f>
        <v>385</v>
      </c>
      <c r="E53" s="58">
        <v>20</v>
      </c>
      <c r="F53" s="59">
        <f>E53*D53</f>
        <v>7700</v>
      </c>
      <c r="G53" s="104"/>
      <c r="H53" s="60"/>
      <c r="I53" s="59">
        <v>7</v>
      </c>
      <c r="J53" s="59">
        <f>D53*I53</f>
        <v>2695</v>
      </c>
      <c r="O53" s="194"/>
    </row>
    <row r="54" spans="1:16" ht="5.25" customHeight="1" x14ac:dyDescent="0.35">
      <c r="C54" s="269"/>
      <c r="D54" s="58"/>
      <c r="E54" s="58"/>
      <c r="F54" s="59"/>
      <c r="G54" s="104"/>
      <c r="H54" s="60"/>
      <c r="O54" s="194"/>
    </row>
    <row r="55" spans="1:16" x14ac:dyDescent="0.35">
      <c r="B55" s="1" t="s">
        <v>55</v>
      </c>
      <c r="C55" s="269"/>
      <c r="D55" s="58"/>
      <c r="E55" s="58"/>
      <c r="F55" s="59"/>
      <c r="G55" s="104"/>
      <c r="H55" s="60"/>
      <c r="O55" s="194"/>
    </row>
    <row r="56" spans="1:16" x14ac:dyDescent="0.35">
      <c r="B56" s="5" t="s">
        <v>152</v>
      </c>
      <c r="C56" s="269"/>
      <c r="D56" s="58"/>
      <c r="E56" s="58"/>
      <c r="F56" s="59"/>
      <c r="G56" s="104"/>
      <c r="H56" s="60"/>
      <c r="O56" s="194"/>
    </row>
    <row r="57" spans="1:16" ht="3" customHeight="1" x14ac:dyDescent="0.35">
      <c r="B57" s="5"/>
      <c r="C57" s="269"/>
      <c r="D57" s="58"/>
      <c r="E57" s="58"/>
      <c r="F57" s="59"/>
      <c r="G57" s="104"/>
      <c r="H57" s="60"/>
      <c r="O57" s="194"/>
    </row>
    <row r="58" spans="1:16" x14ac:dyDescent="0.35">
      <c r="B58" s="5" t="s">
        <v>0</v>
      </c>
      <c r="C58" s="306">
        <f>C75-0.05</f>
        <v>0.2</v>
      </c>
      <c r="D58" s="58">
        <f>C58*bud_comm!E27</f>
        <v>1200</v>
      </c>
      <c r="E58" s="58">
        <v>20</v>
      </c>
      <c r="F58" s="59">
        <f>+E58*D58</f>
        <v>24000</v>
      </c>
      <c r="G58" s="104"/>
      <c r="H58" s="60"/>
      <c r="I58" s="59">
        <v>5</v>
      </c>
      <c r="J58" s="59">
        <f>+I58*D58</f>
        <v>6000</v>
      </c>
      <c r="O58" s="194"/>
    </row>
    <row r="59" spans="1:16" x14ac:dyDescent="0.35">
      <c r="B59" s="1" t="s">
        <v>165</v>
      </c>
      <c r="C59" s="306">
        <f>60%-C43-C52</f>
        <v>0.2</v>
      </c>
      <c r="D59" s="58"/>
      <c r="E59" s="58"/>
      <c r="F59" s="59"/>
      <c r="G59" s="104"/>
      <c r="H59" s="60"/>
      <c r="I59" s="59"/>
      <c r="J59" s="59"/>
      <c r="O59" s="194"/>
    </row>
    <row r="60" spans="1:16" x14ac:dyDescent="0.35">
      <c r="B60" s="5" t="s">
        <v>1</v>
      </c>
      <c r="C60" s="306">
        <v>0.05</v>
      </c>
      <c r="D60" s="58">
        <f>C60*bud_comm!J26</f>
        <v>55</v>
      </c>
      <c r="E60" s="58">
        <v>20</v>
      </c>
      <c r="F60" s="59">
        <f>E60*D60</f>
        <v>1100</v>
      </c>
      <c r="G60" s="104"/>
      <c r="H60" s="60"/>
      <c r="I60" s="59">
        <v>7</v>
      </c>
      <c r="J60" s="59">
        <f>I60*D60</f>
        <v>385</v>
      </c>
      <c r="O60" s="194"/>
    </row>
    <row r="61" spans="1:16" x14ac:dyDescent="0.35">
      <c r="B61" s="1" t="str">
        <f>+B59</f>
        <v>RESTE A ACHETER</v>
      </c>
      <c r="C61" s="269">
        <f>60%-C44-C53</f>
        <v>4.9999999999999989E-2</v>
      </c>
      <c r="D61" s="58"/>
      <c r="E61" s="58"/>
      <c r="F61" s="59"/>
      <c r="G61" s="104"/>
      <c r="H61" s="60"/>
      <c r="O61" s="194"/>
    </row>
    <row r="62" spans="1:16" ht="6.75" customHeight="1" x14ac:dyDescent="0.35">
      <c r="C62" s="269"/>
      <c r="D62" s="58"/>
      <c r="E62" s="58"/>
      <c r="F62" s="59"/>
      <c r="G62" s="104"/>
      <c r="H62" s="60"/>
      <c r="O62" s="194"/>
    </row>
    <row r="63" spans="1:16" s="327" customFormat="1" x14ac:dyDescent="0.35">
      <c r="A63" s="317"/>
      <c r="B63" s="318" t="s">
        <v>166</v>
      </c>
      <c r="C63" s="319"/>
      <c r="D63" s="320"/>
      <c r="E63" s="320"/>
      <c r="F63" s="321">
        <f>+F60+F58+F53+F52</f>
        <v>54400</v>
      </c>
      <c r="G63" s="322"/>
      <c r="H63" s="323"/>
      <c r="I63" s="321"/>
      <c r="J63" s="321">
        <f>SUM(J52:J60)</f>
        <v>14480</v>
      </c>
      <c r="K63" s="324"/>
      <c r="L63" s="321"/>
      <c r="M63" s="321"/>
      <c r="N63" s="321"/>
      <c r="O63" s="325"/>
      <c r="P63" s="326"/>
    </row>
    <row r="64" spans="1:16" x14ac:dyDescent="0.35">
      <c r="B64" s="5" t="s">
        <v>56</v>
      </c>
      <c r="C64" s="269"/>
      <c r="D64" s="58"/>
      <c r="E64" s="58"/>
      <c r="F64" s="59"/>
      <c r="G64" s="104"/>
      <c r="H64" s="60"/>
      <c r="O64" s="194"/>
    </row>
    <row r="65" spans="1:17" x14ac:dyDescent="0.35">
      <c r="B65" s="97" t="s">
        <v>57</v>
      </c>
      <c r="C65" s="269">
        <v>0.6</v>
      </c>
      <c r="D65" s="58">
        <f>C65*500</f>
        <v>300</v>
      </c>
      <c r="E65" s="58">
        <v>20</v>
      </c>
      <c r="F65" s="59">
        <f>+E65*D65</f>
        <v>6000</v>
      </c>
      <c r="G65" s="104"/>
      <c r="H65" s="60"/>
      <c r="I65" s="46">
        <v>5</v>
      </c>
      <c r="J65" s="46">
        <f>+I65*D65</f>
        <v>1500</v>
      </c>
      <c r="O65" s="194"/>
    </row>
    <row r="66" spans="1:17" x14ac:dyDescent="0.35">
      <c r="B66" s="97" t="s">
        <v>58</v>
      </c>
      <c r="C66" s="269">
        <v>0.6</v>
      </c>
      <c r="D66" s="58">
        <f>C66*50</f>
        <v>30</v>
      </c>
      <c r="E66" s="58">
        <v>20</v>
      </c>
      <c r="F66" s="59">
        <f>E66*D66</f>
        <v>600</v>
      </c>
      <c r="G66" s="104"/>
      <c r="H66" s="60"/>
      <c r="I66" s="46">
        <v>7</v>
      </c>
      <c r="J66" s="46">
        <f>I66*D66</f>
        <v>210</v>
      </c>
      <c r="O66" s="194"/>
    </row>
    <row r="67" spans="1:17" x14ac:dyDescent="0.35">
      <c r="B67" s="97" t="s">
        <v>59</v>
      </c>
      <c r="C67" s="269">
        <v>0.6</v>
      </c>
      <c r="D67" s="58">
        <f>C67*4000</f>
        <v>2400</v>
      </c>
      <c r="E67" s="58"/>
      <c r="F67" s="59">
        <f>D67</f>
        <v>2400</v>
      </c>
      <c r="G67" s="104"/>
      <c r="H67" s="60"/>
      <c r="O67" s="194"/>
    </row>
    <row r="68" spans="1:17" x14ac:dyDescent="0.35">
      <c r="C68" s="269"/>
      <c r="D68" s="58"/>
      <c r="E68" s="58"/>
      <c r="F68" s="59"/>
      <c r="G68" s="104"/>
      <c r="H68" s="60"/>
      <c r="O68" s="194"/>
    </row>
    <row r="69" spans="1:17" s="190" customFormat="1" x14ac:dyDescent="0.35">
      <c r="A69" s="99"/>
      <c r="B69" s="304" t="s">
        <v>63</v>
      </c>
      <c r="C69" s="248"/>
      <c r="D69" s="184"/>
      <c r="E69" s="184"/>
      <c r="F69" s="185">
        <f>F52+F53+F58+F60+F65+F66+F67</f>
        <v>63400</v>
      </c>
      <c r="G69" s="186">
        <v>1.1000000000000001</v>
      </c>
      <c r="H69" s="187">
        <f>F69*G69</f>
        <v>69740</v>
      </c>
      <c r="I69" s="185"/>
      <c r="J69" s="185">
        <f>J52+J53+J58+J60+J65+J66+J67</f>
        <v>16190</v>
      </c>
      <c r="K69" s="188">
        <v>2.4</v>
      </c>
      <c r="L69" s="185">
        <f>K69*J69</f>
        <v>38856</v>
      </c>
      <c r="M69" s="185"/>
      <c r="N69" s="185"/>
      <c r="O69" s="199">
        <f>L69+H69</f>
        <v>108596</v>
      </c>
      <c r="P69" s="190">
        <f>O69/O98</f>
        <v>0.39731600591239702</v>
      </c>
    </row>
    <row r="70" spans="1:17" s="4" customFormat="1" x14ac:dyDescent="0.35">
      <c r="A70" s="94"/>
      <c r="B70" s="5"/>
      <c r="C70" s="244"/>
      <c r="D70" s="100"/>
      <c r="E70" s="100"/>
      <c r="F70" s="88"/>
      <c r="G70" s="105"/>
      <c r="H70" s="101"/>
      <c r="I70" s="52"/>
      <c r="J70" s="52"/>
      <c r="K70" s="98"/>
      <c r="L70" s="52"/>
      <c r="M70" s="52"/>
      <c r="N70" s="52"/>
      <c r="O70" s="198"/>
    </row>
    <row r="71" spans="1:17" s="190" customFormat="1" x14ac:dyDescent="0.35">
      <c r="A71" s="99"/>
      <c r="B71" s="183" t="s">
        <v>61</v>
      </c>
      <c r="C71" s="248"/>
      <c r="D71" s="184"/>
      <c r="E71" s="184"/>
      <c r="F71" s="185">
        <f>+F69+F48</f>
        <v>94200</v>
      </c>
      <c r="G71" s="186"/>
      <c r="H71" s="187">
        <f>+H69+H48</f>
        <v>103620</v>
      </c>
      <c r="I71" s="185"/>
      <c r="J71" s="185">
        <f>+J69+J48</f>
        <v>20430</v>
      </c>
      <c r="K71" s="188"/>
      <c r="L71" s="185">
        <f>+L69+L48</f>
        <v>49032</v>
      </c>
      <c r="M71" s="185"/>
      <c r="N71" s="185"/>
      <c r="O71" s="197">
        <f>L71+H71</f>
        <v>152652</v>
      </c>
      <c r="P71" s="205">
        <f>+O71/O98</f>
        <v>0.55850199762918729</v>
      </c>
    </row>
    <row r="72" spans="1:17" x14ac:dyDescent="0.35">
      <c r="D72" s="58"/>
      <c r="E72" s="58"/>
      <c r="F72" s="59"/>
      <c r="G72" s="104"/>
      <c r="H72" s="60"/>
      <c r="J72" s="145">
        <f>+J71/J98</f>
        <v>0.55743519781718964</v>
      </c>
      <c r="O72" s="194"/>
      <c r="P72" s="47">
        <f>O71-J46</f>
        <v>156552</v>
      </c>
      <c r="Q72">
        <f>P72/O98</f>
        <v>0.57277077753874528</v>
      </c>
    </row>
    <row r="73" spans="1:17" x14ac:dyDescent="0.35">
      <c r="D73" s="58"/>
      <c r="E73" s="58"/>
      <c r="F73" s="59"/>
      <c r="G73" s="104"/>
      <c r="H73" s="60"/>
      <c r="O73" s="194"/>
    </row>
    <row r="74" spans="1:17" x14ac:dyDescent="0.35">
      <c r="D74" s="58"/>
      <c r="E74" s="58"/>
      <c r="F74" s="59"/>
      <c r="G74" s="104"/>
      <c r="H74" s="60"/>
      <c r="O74" s="194"/>
    </row>
    <row r="75" spans="1:17" x14ac:dyDescent="0.35">
      <c r="B75" s="1" t="s">
        <v>54</v>
      </c>
      <c r="C75" s="243">
        <v>0.25</v>
      </c>
      <c r="D75" s="58"/>
      <c r="E75" s="58"/>
      <c r="F75" s="59"/>
      <c r="G75" s="104"/>
      <c r="H75" s="60"/>
      <c r="O75" s="194"/>
    </row>
    <row r="76" spans="1:17" ht="21.75" thickBot="1" x14ac:dyDescent="0.4">
      <c r="C76" s="303">
        <f>-C58</f>
        <v>-0.2</v>
      </c>
      <c r="D76" s="58"/>
      <c r="E76" s="58"/>
      <c r="F76" s="59"/>
      <c r="G76" s="104"/>
      <c r="H76" s="60"/>
      <c r="O76" s="194"/>
    </row>
    <row r="77" spans="1:17" ht="21.75" thickTop="1" x14ac:dyDescent="0.35">
      <c r="A77" s="94" t="s">
        <v>60</v>
      </c>
      <c r="C77" s="269">
        <f>C75+C76</f>
        <v>4.9999999999999989E-2</v>
      </c>
      <c r="D77" s="58">
        <f>+C77*bud_comm!E27</f>
        <v>299.99999999999994</v>
      </c>
      <c r="E77" s="58">
        <f>E65</f>
        <v>20</v>
      </c>
      <c r="F77" s="59">
        <f>+E77*D77</f>
        <v>5999.9999999999991</v>
      </c>
      <c r="G77" s="104"/>
      <c r="H77" s="60"/>
      <c r="I77" s="46">
        <v>5</v>
      </c>
      <c r="J77" s="46">
        <f>+I77*D77</f>
        <v>1499.9999999999998</v>
      </c>
      <c r="O77" s="194"/>
    </row>
    <row r="78" spans="1:17" x14ac:dyDescent="0.35">
      <c r="D78" s="58"/>
      <c r="E78" s="58"/>
      <c r="F78" s="59"/>
      <c r="G78" s="104"/>
      <c r="H78" s="60"/>
      <c r="O78" s="194"/>
    </row>
    <row r="79" spans="1:17" x14ac:dyDescent="0.35">
      <c r="B79" s="1" t="s">
        <v>151</v>
      </c>
      <c r="C79" s="243">
        <v>0.3</v>
      </c>
      <c r="D79" s="58"/>
      <c r="E79" s="58"/>
      <c r="F79" s="59"/>
      <c r="G79" s="104"/>
      <c r="H79" s="60"/>
      <c r="O79" s="194"/>
    </row>
    <row r="80" spans="1:17" ht="21.75" thickBot="1" x14ac:dyDescent="0.4">
      <c r="C80" s="303">
        <f>-C60</f>
        <v>-0.05</v>
      </c>
      <c r="D80" s="58"/>
      <c r="E80" s="58"/>
      <c r="F80" s="59"/>
      <c r="G80" s="104"/>
      <c r="H80" s="60"/>
      <c r="O80" s="194"/>
    </row>
    <row r="81" spans="1:15" ht="21.75" thickTop="1" x14ac:dyDescent="0.35">
      <c r="C81" s="269">
        <f>C79+C80</f>
        <v>0.25</v>
      </c>
      <c r="D81" s="58">
        <f>bud_comm!J26*BUDG_ACHATS!C81</f>
        <v>275</v>
      </c>
      <c r="E81" s="58">
        <f>E77</f>
        <v>20</v>
      </c>
      <c r="F81" s="59">
        <f>E81*D81</f>
        <v>5500</v>
      </c>
      <c r="G81" s="104"/>
      <c r="H81" s="60"/>
      <c r="I81" s="46">
        <v>7</v>
      </c>
      <c r="J81" s="46">
        <f>+I81*D81</f>
        <v>1925</v>
      </c>
      <c r="O81" s="194"/>
    </row>
    <row r="82" spans="1:15" x14ac:dyDescent="0.35">
      <c r="D82" s="58"/>
      <c r="E82" s="58"/>
      <c r="F82" s="59"/>
      <c r="G82" s="104"/>
      <c r="H82" s="60"/>
      <c r="O82" s="194"/>
    </row>
    <row r="83" spans="1:15" x14ac:dyDescent="0.35">
      <c r="D83" s="58"/>
      <c r="E83" s="58"/>
      <c r="F83" s="59"/>
      <c r="G83" s="104"/>
      <c r="H83" s="207"/>
      <c r="I83" s="206"/>
      <c r="O83" s="194"/>
    </row>
    <row r="84" spans="1:15" x14ac:dyDescent="0.35">
      <c r="D84" s="58"/>
      <c r="E84" s="58"/>
      <c r="F84" s="59"/>
      <c r="G84" s="104"/>
      <c r="H84" s="60"/>
      <c r="O84" s="194"/>
    </row>
    <row r="85" spans="1:15" s="190" customFormat="1" x14ac:dyDescent="0.35">
      <c r="A85" s="99"/>
      <c r="B85" s="304" t="s">
        <v>157</v>
      </c>
      <c r="C85" s="248"/>
      <c r="D85" s="184"/>
      <c r="E85" s="184"/>
      <c r="F85" s="185">
        <f>F81+F77</f>
        <v>11500</v>
      </c>
      <c r="G85" s="186">
        <v>1.25</v>
      </c>
      <c r="H85" s="187">
        <f>+G85*F85</f>
        <v>14375</v>
      </c>
      <c r="I85" s="185"/>
      <c r="J85" s="185">
        <f>J77+J81</f>
        <v>3425</v>
      </c>
      <c r="K85" s="188">
        <v>2.6</v>
      </c>
      <c r="L85" s="185">
        <f>+K85*J85</f>
        <v>8905</v>
      </c>
      <c r="M85" s="185"/>
      <c r="N85" s="185"/>
      <c r="O85" s="199">
        <f>+L85+H85</f>
        <v>23280</v>
      </c>
    </row>
    <row r="86" spans="1:15" x14ac:dyDescent="0.35">
      <c r="D86" s="84"/>
      <c r="E86" s="59"/>
      <c r="F86" s="59"/>
      <c r="G86" s="104"/>
      <c r="H86" s="60"/>
      <c r="O86" s="194"/>
    </row>
    <row r="87" spans="1:15" x14ac:dyDescent="0.35">
      <c r="B87" s="1" t="s">
        <v>51</v>
      </c>
      <c r="C87" s="243">
        <v>0.35</v>
      </c>
      <c r="D87" s="86">
        <f>C87*bud_comm!E27</f>
        <v>2100</v>
      </c>
      <c r="E87" s="59">
        <v>20</v>
      </c>
      <c r="F87" s="59">
        <f>+E87*D87</f>
        <v>42000</v>
      </c>
      <c r="G87" s="104"/>
      <c r="H87" s="60"/>
      <c r="I87" s="46">
        <v>5</v>
      </c>
      <c r="J87" s="46">
        <f>+D87*I87</f>
        <v>10500</v>
      </c>
      <c r="O87" s="194"/>
    </row>
    <row r="88" spans="1:15" x14ac:dyDescent="0.35">
      <c r="B88" s="1" t="s">
        <v>153</v>
      </c>
      <c r="C88" s="243">
        <v>0.15</v>
      </c>
      <c r="D88" s="86">
        <f>C88*bud_comm!J26</f>
        <v>165</v>
      </c>
      <c r="E88" s="59">
        <v>20</v>
      </c>
      <c r="F88" s="59">
        <f>E88*D88</f>
        <v>3300</v>
      </c>
      <c r="G88" s="104"/>
      <c r="H88" s="60"/>
      <c r="I88" s="46">
        <v>7</v>
      </c>
      <c r="J88" s="46">
        <f>I88*D88</f>
        <v>1155</v>
      </c>
      <c r="O88" s="194"/>
    </row>
    <row r="89" spans="1:15" x14ac:dyDescent="0.35">
      <c r="D89" s="86"/>
      <c r="E89" s="59"/>
      <c r="F89" s="59"/>
      <c r="G89" s="104"/>
      <c r="H89" s="60"/>
      <c r="O89" s="194"/>
    </row>
    <row r="90" spans="1:15" x14ac:dyDescent="0.35">
      <c r="A90" s="94" t="s">
        <v>50</v>
      </c>
      <c r="B90" s="97" t="s">
        <v>154</v>
      </c>
      <c r="C90" s="269">
        <v>0.4</v>
      </c>
      <c r="D90" s="86">
        <f>0.4*500</f>
        <v>200</v>
      </c>
      <c r="E90" s="59">
        <v>20</v>
      </c>
      <c r="F90" s="59">
        <f>+E90*D90</f>
        <v>4000</v>
      </c>
      <c r="G90" s="104"/>
      <c r="H90" s="60"/>
      <c r="I90" s="46">
        <v>5</v>
      </c>
      <c r="J90" s="46">
        <v>1000</v>
      </c>
      <c r="O90" s="195"/>
    </row>
    <row r="91" spans="1:15" x14ac:dyDescent="0.35">
      <c r="B91" s="97" t="s">
        <v>155</v>
      </c>
      <c r="C91" s="269">
        <v>0.4</v>
      </c>
      <c r="D91" s="86">
        <f>0.4*50</f>
        <v>20</v>
      </c>
      <c r="E91" s="59">
        <v>20</v>
      </c>
      <c r="F91" s="59">
        <f>E91*D91</f>
        <v>400</v>
      </c>
      <c r="G91" s="104"/>
      <c r="H91" s="60"/>
      <c r="I91" s="46">
        <v>7</v>
      </c>
      <c r="J91" s="46">
        <v>140</v>
      </c>
    </row>
    <row r="92" spans="1:15" x14ac:dyDescent="0.35">
      <c r="B92" s="97" t="s">
        <v>156</v>
      </c>
      <c r="C92" s="269">
        <v>0.4</v>
      </c>
      <c r="D92" s="86">
        <f>C92*4000</f>
        <v>1600</v>
      </c>
      <c r="E92" s="59"/>
      <c r="F92" s="59">
        <f>D92</f>
        <v>1600</v>
      </c>
      <c r="G92" s="104"/>
      <c r="H92" s="60"/>
    </row>
    <row r="93" spans="1:15" x14ac:dyDescent="0.35">
      <c r="D93" s="86"/>
      <c r="E93" s="59"/>
      <c r="F93" s="59"/>
      <c r="G93" s="104"/>
      <c r="H93" s="60"/>
    </row>
    <row r="94" spans="1:15" s="190" customFormat="1" x14ac:dyDescent="0.35">
      <c r="A94" s="99"/>
      <c r="B94" s="304" t="s">
        <v>158</v>
      </c>
      <c r="C94" s="248"/>
      <c r="D94" s="189"/>
      <c r="E94" s="185"/>
      <c r="F94" s="185">
        <f>SUM(F87:F92)</f>
        <v>51300</v>
      </c>
      <c r="G94" s="186">
        <f>+G85</f>
        <v>1.25</v>
      </c>
      <c r="H94" s="187">
        <f>+G94*F94</f>
        <v>64125</v>
      </c>
      <c r="I94" s="185"/>
      <c r="J94" s="185">
        <f>+J90+J91+J87+J88</f>
        <v>12795</v>
      </c>
      <c r="K94" s="188">
        <f>+K85</f>
        <v>2.6</v>
      </c>
      <c r="L94" s="185">
        <f>+J94*K94</f>
        <v>33267</v>
      </c>
      <c r="M94" s="185"/>
      <c r="N94" s="185"/>
      <c r="O94" s="200">
        <f>+L94+H94</f>
        <v>97392</v>
      </c>
    </row>
    <row r="95" spans="1:15" x14ac:dyDescent="0.35">
      <c r="D95" s="86"/>
      <c r="E95" s="62"/>
      <c r="F95" s="62"/>
      <c r="G95" s="106"/>
      <c r="H95" s="63"/>
    </row>
    <row r="96" spans="1:15" s="190" customFormat="1" x14ac:dyDescent="0.35">
      <c r="A96" s="99"/>
      <c r="B96" s="183" t="s">
        <v>70</v>
      </c>
      <c r="C96" s="248"/>
      <c r="D96" s="189"/>
      <c r="E96" s="185"/>
      <c r="F96" s="185">
        <f>+F28</f>
        <v>62800</v>
      </c>
      <c r="G96" s="186"/>
      <c r="H96" s="185">
        <f>+H94+H85</f>
        <v>78500</v>
      </c>
      <c r="I96" s="185"/>
      <c r="J96" s="185">
        <f>+J85+J94</f>
        <v>16220</v>
      </c>
      <c r="K96" s="186"/>
      <c r="L96" s="185">
        <f>+L94+L85</f>
        <v>42172</v>
      </c>
      <c r="M96" s="185"/>
      <c r="N96" s="185"/>
      <c r="O96" s="200">
        <f>+L96+H96</f>
        <v>120672</v>
      </c>
    </row>
    <row r="97" spans="1:15" s="70" customFormat="1" x14ac:dyDescent="0.35">
      <c r="A97" s="95"/>
      <c r="B97" s="78"/>
      <c r="C97" s="245"/>
      <c r="D97" s="84"/>
      <c r="E97" s="56"/>
      <c r="F97" s="56">
        <f>F94+F85-F96</f>
        <v>0</v>
      </c>
      <c r="G97" s="103"/>
      <c r="H97" s="56"/>
      <c r="I97" s="56"/>
      <c r="J97" s="56"/>
      <c r="K97" s="91"/>
      <c r="L97" s="56"/>
      <c r="M97" s="56"/>
      <c r="N97" s="56"/>
      <c r="O97" s="201"/>
    </row>
    <row r="98" spans="1:15" s="164" customFormat="1" ht="23.25" x14ac:dyDescent="0.35">
      <c r="A98" s="160"/>
      <c r="B98" s="161" t="s">
        <v>71</v>
      </c>
      <c r="C98" s="245"/>
      <c r="D98" s="203"/>
      <c r="E98" s="162"/>
      <c r="F98" s="162">
        <f>+F96+F26</f>
        <v>157000</v>
      </c>
      <c r="G98" s="163">
        <f>+H98/F98</f>
        <v>1.1599999999999999</v>
      </c>
      <c r="H98" s="162">
        <f>H96+H71</f>
        <v>182120</v>
      </c>
      <c r="I98" s="162"/>
      <c r="J98" s="162">
        <v>36650</v>
      </c>
      <c r="K98" s="163">
        <f>+L98/J98</f>
        <v>2.4885129604365619</v>
      </c>
      <c r="L98" s="162">
        <v>91204</v>
      </c>
      <c r="M98" s="162"/>
      <c r="N98" s="162"/>
      <c r="O98" s="200">
        <f>+L98+H98</f>
        <v>273324</v>
      </c>
    </row>
    <row r="99" spans="1:15" s="170" customFormat="1" ht="23.25" x14ac:dyDescent="0.35">
      <c r="A99" s="165"/>
      <c r="B99" s="166"/>
      <c r="C99" s="247"/>
      <c r="D99" s="204"/>
      <c r="E99" s="167"/>
      <c r="F99" s="167">
        <v>157000</v>
      </c>
      <c r="G99" s="168">
        <v>1.21</v>
      </c>
      <c r="H99" s="167">
        <f>+G99*F99</f>
        <v>189970</v>
      </c>
      <c r="I99" s="167"/>
      <c r="J99" s="167"/>
      <c r="K99" s="169"/>
      <c r="L99" s="167"/>
      <c r="M99" s="167"/>
      <c r="N99" s="167"/>
      <c r="O99" s="202"/>
    </row>
    <row r="100" spans="1:15" x14ac:dyDescent="0.35">
      <c r="H100" s="46">
        <f>H99-H98</f>
        <v>7850</v>
      </c>
    </row>
    <row r="101" spans="1:15" x14ac:dyDescent="0.35">
      <c r="H101" s="264">
        <f>H100/H98</f>
        <v>4.3103448275862072E-2</v>
      </c>
    </row>
    <row r="102" spans="1:15" x14ac:dyDescent="0.35">
      <c r="D102" s="122" t="s">
        <v>97</v>
      </c>
      <c r="E102" s="122"/>
      <c r="F102" s="85" t="s">
        <v>46</v>
      </c>
      <c r="G102" s="124"/>
      <c r="H102" s="85"/>
      <c r="I102" s="85"/>
      <c r="J102" s="123" t="s">
        <v>30</v>
      </c>
    </row>
    <row r="103" spans="1:15" x14ac:dyDescent="0.35">
      <c r="D103" s="58" t="s">
        <v>82</v>
      </c>
      <c r="E103" s="58"/>
      <c r="F103" s="59">
        <v>5000</v>
      </c>
      <c r="G103" s="125"/>
      <c r="H103" s="59"/>
      <c r="I103" s="59"/>
      <c r="J103" s="120">
        <v>5000</v>
      </c>
    </row>
    <row r="104" spans="1:15" x14ac:dyDescent="0.35">
      <c r="D104" s="58"/>
      <c r="E104" s="58"/>
      <c r="F104" s="59"/>
      <c r="G104" s="125"/>
      <c r="H104" s="59"/>
      <c r="I104" s="59"/>
      <c r="J104" s="120"/>
    </row>
    <row r="105" spans="1:15" ht="21.75" thickBot="1" x14ac:dyDescent="0.4">
      <c r="D105" s="58"/>
      <c r="E105" s="58"/>
      <c r="F105" s="59"/>
      <c r="G105" s="125"/>
      <c r="H105" s="59"/>
      <c r="I105" s="59"/>
      <c r="J105" s="120"/>
    </row>
    <row r="106" spans="1:15" ht="21.75" thickBot="1" x14ac:dyDescent="0.4">
      <c r="D106" s="58" t="s">
        <v>103</v>
      </c>
      <c r="E106" s="58" t="s">
        <v>104</v>
      </c>
      <c r="F106" s="136">
        <v>9000</v>
      </c>
      <c r="G106" s="125"/>
      <c r="H106" s="59"/>
      <c r="I106" s="59"/>
      <c r="J106" s="120">
        <v>1100</v>
      </c>
    </row>
    <row r="107" spans="1:15" x14ac:dyDescent="0.35">
      <c r="D107" s="58"/>
      <c r="E107" s="58" t="s">
        <v>105</v>
      </c>
      <c r="F107" s="59">
        <v>8000</v>
      </c>
      <c r="G107" s="125"/>
      <c r="H107" s="59"/>
      <c r="I107" s="59"/>
      <c r="J107" s="120"/>
    </row>
    <row r="108" spans="1:15" x14ac:dyDescent="0.35">
      <c r="D108" s="55"/>
      <c r="E108" s="55"/>
      <c r="F108" s="56" t="s">
        <v>83</v>
      </c>
      <c r="G108" s="126"/>
      <c r="H108" s="56"/>
      <c r="I108" s="56"/>
      <c r="J108" s="118" t="s">
        <v>84</v>
      </c>
    </row>
    <row r="109" spans="1:15" x14ac:dyDescent="0.35">
      <c r="D109" s="58" t="s">
        <v>96</v>
      </c>
      <c r="E109" s="58"/>
      <c r="F109" s="59"/>
      <c r="G109" s="125"/>
      <c r="H109" s="59"/>
      <c r="I109" s="59"/>
      <c r="J109" s="120"/>
    </row>
    <row r="110" spans="1:15" x14ac:dyDescent="0.35">
      <c r="D110" s="58" t="s">
        <v>97</v>
      </c>
      <c r="E110" s="58" t="s">
        <v>104</v>
      </c>
      <c r="F110" s="88">
        <f>F106-F103</f>
        <v>4000</v>
      </c>
      <c r="G110" s="125"/>
      <c r="H110" s="59"/>
      <c r="I110" s="59"/>
      <c r="J110" s="120"/>
    </row>
    <row r="111" spans="1:15" ht="21.75" thickBot="1" x14ac:dyDescent="0.4">
      <c r="D111" s="61"/>
      <c r="E111" s="130" t="s">
        <v>105</v>
      </c>
      <c r="F111" s="131">
        <f>F107-F103</f>
        <v>3000</v>
      </c>
      <c r="G111" s="132"/>
      <c r="H111" s="131"/>
      <c r="I111" s="131"/>
      <c r="J111" s="133">
        <f>J106-J103</f>
        <v>-3900</v>
      </c>
    </row>
    <row r="112" spans="1:15" ht="21.75" thickTop="1" x14ac:dyDescent="0.35"/>
    <row r="113" spans="4:15" x14ac:dyDescent="0.35">
      <c r="D113" s="55"/>
      <c r="E113" s="56"/>
      <c r="F113" s="56">
        <f>F43+F44</f>
        <v>30800</v>
      </c>
      <c r="G113" s="103"/>
      <c r="H113" s="56" t="s">
        <v>86</v>
      </c>
      <c r="I113" s="56"/>
      <c r="J113" s="56">
        <f>J43+J44</f>
        <v>8140</v>
      </c>
      <c r="K113" s="57">
        <f>K43+K44</f>
        <v>0</v>
      </c>
    </row>
    <row r="114" spans="4:15" x14ac:dyDescent="0.35">
      <c r="D114" s="58"/>
      <c r="E114" s="59"/>
      <c r="F114" s="59">
        <v>0</v>
      </c>
      <c r="G114" s="104"/>
      <c r="H114" s="59" t="s">
        <v>87</v>
      </c>
      <c r="I114" s="59"/>
      <c r="J114" s="59">
        <f>J111</f>
        <v>-3900</v>
      </c>
      <c r="K114" s="120"/>
    </row>
    <row r="115" spans="4:15" x14ac:dyDescent="0.35">
      <c r="D115" s="61"/>
      <c r="E115" s="62"/>
      <c r="F115" s="62">
        <f>F113+F114</f>
        <v>30800</v>
      </c>
      <c r="G115" s="106"/>
      <c r="H115" s="121" t="s">
        <v>89</v>
      </c>
      <c r="I115" s="62"/>
      <c r="J115" s="62">
        <f>J113+J114</f>
        <v>4240</v>
      </c>
      <c r="K115" s="119"/>
    </row>
    <row r="116" spans="4:15" x14ac:dyDescent="0.35">
      <c r="D116" s="58"/>
      <c r="E116" s="59"/>
      <c r="F116" s="59"/>
      <c r="G116" s="104"/>
      <c r="H116" s="59"/>
      <c r="I116" s="59"/>
      <c r="J116" s="59"/>
      <c r="K116" s="120"/>
    </row>
    <row r="117" spans="4:15" x14ac:dyDescent="0.35">
      <c r="D117" s="58"/>
      <c r="E117" s="59"/>
      <c r="F117" s="59">
        <f>F52+F53</f>
        <v>29300</v>
      </c>
      <c r="G117" s="104"/>
      <c r="H117" s="59" t="s">
        <v>88</v>
      </c>
      <c r="I117" s="59"/>
      <c r="J117" s="59">
        <f>J52+J53</f>
        <v>8095</v>
      </c>
      <c r="K117" s="120"/>
      <c r="O117" s="192">
        <f>+J117*2</f>
        <v>16190</v>
      </c>
    </row>
    <row r="118" spans="4:15" x14ac:dyDescent="0.35">
      <c r="D118" s="58"/>
      <c r="E118" s="59" t="s">
        <v>93</v>
      </c>
      <c r="F118" s="59">
        <f>(F24*0.6)-F113</f>
        <v>63400</v>
      </c>
      <c r="G118" s="104"/>
      <c r="H118" s="59" t="s">
        <v>94</v>
      </c>
      <c r="I118" s="59"/>
      <c r="J118" s="59">
        <v>0</v>
      </c>
      <c r="K118" s="120"/>
    </row>
    <row r="119" spans="4:15" x14ac:dyDescent="0.35">
      <c r="D119" s="58"/>
      <c r="E119" s="59"/>
      <c r="F119" s="59"/>
      <c r="G119" s="104"/>
      <c r="H119" s="59"/>
      <c r="I119" s="59"/>
      <c r="J119" s="59"/>
      <c r="K119" s="120"/>
    </row>
    <row r="120" spans="4:15" x14ac:dyDescent="0.35">
      <c r="D120" s="58"/>
      <c r="E120" s="59"/>
      <c r="F120" s="59"/>
      <c r="G120" s="104"/>
      <c r="H120" s="59"/>
      <c r="I120" s="59"/>
      <c r="J120" s="59"/>
      <c r="K120" s="120"/>
    </row>
    <row r="121" spans="4:15" x14ac:dyDescent="0.35">
      <c r="D121" s="61"/>
      <c r="E121" s="62"/>
      <c r="F121" s="62">
        <f>+F118-F115</f>
        <v>32600</v>
      </c>
      <c r="G121" s="106"/>
      <c r="H121" s="121" t="s">
        <v>90</v>
      </c>
      <c r="I121" s="62"/>
      <c r="J121" s="62">
        <f>+J123-J117</f>
        <v>4240</v>
      </c>
      <c r="K121" s="119"/>
    </row>
    <row r="123" spans="4:15" x14ac:dyDescent="0.35">
      <c r="E123" s="55" t="s">
        <v>95</v>
      </c>
      <c r="F123" s="56">
        <f>+F121+F115</f>
        <v>63400</v>
      </c>
      <c r="G123" s="103"/>
      <c r="H123" s="56" t="s">
        <v>91</v>
      </c>
      <c r="I123" s="56"/>
      <c r="J123" s="56">
        <f>8095+4240</f>
        <v>12335</v>
      </c>
      <c r="K123" s="118"/>
      <c r="L123" s="46">
        <f>G129</f>
        <v>157000</v>
      </c>
    </row>
    <row r="124" spans="4:15" x14ac:dyDescent="0.35">
      <c r="E124" s="61"/>
      <c r="F124" s="62" t="b">
        <f>+F118=F123</f>
        <v>1</v>
      </c>
      <c r="G124" s="106"/>
      <c r="H124" s="62" t="s">
        <v>92</v>
      </c>
      <c r="I124" s="62"/>
      <c r="J124" s="62"/>
      <c r="K124" s="119"/>
      <c r="L124" s="46">
        <f>K129</f>
        <v>36250</v>
      </c>
    </row>
    <row r="125" spans="4:15" x14ac:dyDescent="0.35">
      <c r="L125" s="46">
        <f>L123+L124</f>
        <v>193250</v>
      </c>
      <c r="O125" s="192">
        <f>L125*0.6</f>
        <v>115950</v>
      </c>
    </row>
    <row r="127" spans="4:15" x14ac:dyDescent="0.35">
      <c r="F127" s="102">
        <v>1.1000000000000001</v>
      </c>
      <c r="H127" s="102"/>
      <c r="I127" s="102"/>
      <c r="J127" s="102">
        <v>2.4</v>
      </c>
    </row>
    <row r="128" spans="4:15" x14ac:dyDescent="0.35">
      <c r="F128" s="102">
        <v>1.25</v>
      </c>
      <c r="H128" s="102"/>
      <c r="I128" s="102"/>
      <c r="J128" s="102">
        <v>2.6</v>
      </c>
    </row>
    <row r="129" spans="5:12" x14ac:dyDescent="0.35">
      <c r="F129" s="102">
        <f>+F128-F127</f>
        <v>0.14999999999999991</v>
      </c>
      <c r="G129" s="102">
        <v>157000</v>
      </c>
      <c r="H129" s="102">
        <f>+F129*G129</f>
        <v>23549.999999999985</v>
      </c>
      <c r="I129" s="102"/>
      <c r="J129" s="102">
        <f>+J128-J127</f>
        <v>0.20000000000000018</v>
      </c>
      <c r="K129" s="90">
        <v>36250</v>
      </c>
      <c r="L129" s="46">
        <f>K129*J129</f>
        <v>7250.0000000000064</v>
      </c>
    </row>
    <row r="130" spans="5:12" ht="21.75" thickBot="1" x14ac:dyDescent="0.4">
      <c r="K130" s="129">
        <v>-3900</v>
      </c>
    </row>
    <row r="131" spans="5:12" ht="21.75" thickTop="1" x14ac:dyDescent="0.35">
      <c r="K131" s="90">
        <f>+K129+K130</f>
        <v>32350</v>
      </c>
    </row>
    <row r="133" spans="5:12" x14ac:dyDescent="0.35">
      <c r="F133" s="46">
        <v>94200</v>
      </c>
      <c r="G133" s="128">
        <f>+F133/G129</f>
        <v>0.6</v>
      </c>
      <c r="J133" s="46">
        <f>+K129*0.6</f>
        <v>21750</v>
      </c>
      <c r="K133" s="127">
        <f>K130</f>
        <v>-3900</v>
      </c>
      <c r="L133" s="46">
        <f>J133+K133</f>
        <v>17850</v>
      </c>
    </row>
    <row r="134" spans="5:12" x14ac:dyDescent="0.35">
      <c r="J134" s="46">
        <v>16190</v>
      </c>
    </row>
    <row r="135" spans="5:12" x14ac:dyDescent="0.35">
      <c r="J135" s="46">
        <f>+J134/G133</f>
        <v>26983.333333333336</v>
      </c>
    </row>
    <row r="136" spans="5:12" x14ac:dyDescent="0.35">
      <c r="E136" s="46" t="s">
        <v>98</v>
      </c>
    </row>
    <row r="137" spans="5:12" x14ac:dyDescent="0.35">
      <c r="E137" s="46" t="s">
        <v>99</v>
      </c>
    </row>
    <row r="138" spans="5:12" x14ac:dyDescent="0.35">
      <c r="E138" s="46" t="s">
        <v>100</v>
      </c>
      <c r="G138" s="102" t="s">
        <v>101</v>
      </c>
    </row>
    <row r="139" spans="5:12" x14ac:dyDescent="0.35">
      <c r="G139" s="102" t="s">
        <v>102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7"/>
  <sheetViews>
    <sheetView tabSelected="1" topLeftCell="C16" workbookViewId="0">
      <selection activeCell="G20" sqref="G20"/>
    </sheetView>
  </sheetViews>
  <sheetFormatPr baseColWidth="10" defaultRowHeight="15" x14ac:dyDescent="0.25"/>
  <cols>
    <col min="2" max="2" width="12.85546875" bestFit="1" customWidth="1"/>
    <col min="4" max="4" width="11.42578125" style="1"/>
    <col min="5" max="5" width="11.5703125" style="1" bestFit="1" customWidth="1"/>
    <col min="6" max="6" width="15.42578125" style="145" bestFit="1" customWidth="1"/>
    <col min="7" max="7" width="19.42578125" style="102" bestFit="1" customWidth="1"/>
    <col min="8" max="8" width="16.28515625" style="1" customWidth="1"/>
    <col min="9" max="9" width="11.5703125" style="46" bestFit="1" customWidth="1"/>
    <col min="10" max="10" width="11.42578125" style="145"/>
    <col min="11" max="11" width="19.42578125" style="138" bestFit="1" customWidth="1"/>
    <col min="12" max="12" width="11.42578125" style="1"/>
    <col min="13" max="13" width="12.85546875" style="1" bestFit="1" customWidth="1"/>
    <col min="14" max="14" width="11.42578125" style="264"/>
    <col min="16" max="17" width="13.85546875" bestFit="1" customWidth="1"/>
  </cols>
  <sheetData>
    <row r="2" spans="2:17" x14ac:dyDescent="0.25">
      <c r="M2" s="1" t="s">
        <v>117</v>
      </c>
    </row>
    <row r="4" spans="2:17" x14ac:dyDescent="0.25">
      <c r="M4" s="1" t="s">
        <v>118</v>
      </c>
      <c r="O4" t="s">
        <v>125</v>
      </c>
    </row>
    <row r="5" spans="2:17" s="27" customFormat="1" ht="18.75" x14ac:dyDescent="0.3">
      <c r="D5" s="21"/>
      <c r="E5" s="21"/>
      <c r="F5" s="151"/>
      <c r="G5" s="152"/>
      <c r="H5" s="22" t="s">
        <v>106</v>
      </c>
      <c r="I5" s="153"/>
      <c r="J5" s="151"/>
      <c r="K5" s="154"/>
      <c r="L5" s="21"/>
      <c r="M5" s="1" t="s">
        <v>122</v>
      </c>
      <c r="N5" s="263"/>
    </row>
    <row r="7" spans="2:17" x14ac:dyDescent="0.25">
      <c r="D7" s="134"/>
      <c r="E7" s="78"/>
      <c r="F7" s="107"/>
      <c r="G7" s="103"/>
      <c r="H7" s="78"/>
      <c r="I7" s="56"/>
      <c r="J7" s="107"/>
      <c r="K7" s="139"/>
    </row>
    <row r="8" spans="2:17" ht="15.75" thickBot="1" x14ac:dyDescent="0.3">
      <c r="D8" s="135"/>
      <c r="E8" s="45" t="s">
        <v>1</v>
      </c>
      <c r="F8" s="146" t="s">
        <v>2</v>
      </c>
      <c r="G8" s="143" t="s">
        <v>4</v>
      </c>
      <c r="H8" s="45"/>
      <c r="I8" s="131" t="s">
        <v>1</v>
      </c>
      <c r="J8" s="146" t="s">
        <v>2</v>
      </c>
      <c r="K8" s="140" t="s">
        <v>4</v>
      </c>
    </row>
    <row r="9" spans="2:17" ht="16.5" thickTop="1" thickBot="1" x14ac:dyDescent="0.3">
      <c r="D9" s="79"/>
      <c r="E9" s="80"/>
      <c r="F9" s="147"/>
      <c r="G9" s="104"/>
      <c r="H9" s="80"/>
      <c r="I9" s="59"/>
      <c r="J9" s="147"/>
      <c r="K9" s="141"/>
      <c r="M9" s="1" t="s">
        <v>126</v>
      </c>
      <c r="P9" t="s">
        <v>119</v>
      </c>
      <c r="Q9" t="s">
        <v>120</v>
      </c>
    </row>
    <row r="10" spans="2:17" ht="15.75" thickBot="1" x14ac:dyDescent="0.3">
      <c r="D10" s="134" t="s">
        <v>107</v>
      </c>
      <c r="E10" s="78">
        <v>5000</v>
      </c>
      <c r="F10" s="107">
        <v>1.04</v>
      </c>
      <c r="G10" s="144">
        <f>+F10*E10</f>
        <v>5200</v>
      </c>
      <c r="H10" s="78" t="s">
        <v>109</v>
      </c>
      <c r="I10" s="56">
        <v>153000</v>
      </c>
      <c r="J10" s="107">
        <f>+F14</f>
        <v>1.1599999999999999</v>
      </c>
      <c r="K10" s="139">
        <f>+J10*I10</f>
        <v>177480</v>
      </c>
      <c r="M10" s="1">
        <f>N10</f>
        <v>0.1961783439490446</v>
      </c>
      <c r="N10" s="264">
        <f>P10/$P$16</f>
        <v>0.1961783439490446</v>
      </c>
      <c r="O10" t="s">
        <v>47</v>
      </c>
      <c r="P10" s="47">
        <f>BUDG_ACHATS!F48</f>
        <v>30800</v>
      </c>
      <c r="Q10" s="47">
        <f>+BUDG_ACHATS!H48</f>
        <v>33880</v>
      </c>
    </row>
    <row r="11" spans="2:17" x14ac:dyDescent="0.25">
      <c r="D11" s="79"/>
      <c r="E11" s="80"/>
      <c r="F11" s="147"/>
      <c r="G11" s="104"/>
      <c r="H11" s="80"/>
      <c r="I11" s="59"/>
      <c r="J11" s="147"/>
      <c r="K11" s="141"/>
      <c r="P11" s="47"/>
      <c r="Q11" s="47"/>
    </row>
    <row r="12" spans="2:17" x14ac:dyDescent="0.25">
      <c r="D12" s="79"/>
      <c r="E12" s="80"/>
      <c r="F12" s="147"/>
      <c r="G12" s="104"/>
      <c r="H12" s="80" t="s">
        <v>202</v>
      </c>
      <c r="I12" s="59">
        <f>I10+I14</f>
        <v>162000</v>
      </c>
      <c r="J12" s="147">
        <f>-(J10-F16)</f>
        <v>-3.7037037037035425E-3</v>
      </c>
      <c r="K12" s="141">
        <f>+J12*I12</f>
        <v>-599.99999999997385</v>
      </c>
      <c r="P12" s="47"/>
      <c r="Q12" s="47"/>
    </row>
    <row r="13" spans="2:17" ht="15.75" thickBot="1" x14ac:dyDescent="0.3">
      <c r="D13" s="79"/>
      <c r="E13" s="80"/>
      <c r="F13" s="147"/>
      <c r="G13" s="104"/>
      <c r="H13" s="80"/>
      <c r="I13" s="59"/>
      <c r="J13" s="147"/>
      <c r="K13" s="141"/>
      <c r="M13" s="265">
        <f>+N13+N10</f>
        <v>0.60000000000000009</v>
      </c>
      <c r="N13" s="264">
        <f t="shared" ref="N13:N15" si="0">P13/$P$16</f>
        <v>0.40382165605095544</v>
      </c>
      <c r="O13" t="s">
        <v>121</v>
      </c>
      <c r="P13" s="47">
        <f>BUDG_ACHATS!F69</f>
        <v>63400</v>
      </c>
      <c r="Q13" s="47">
        <f>BUDG_ACHATS!H71-BUDG_ACHATS!H48</f>
        <v>69740</v>
      </c>
    </row>
    <row r="14" spans="2:17" ht="15.75" thickBot="1" x14ac:dyDescent="0.3">
      <c r="B14" s="149">
        <f>+G14+G35</f>
        <v>273324</v>
      </c>
      <c r="D14" s="79" t="s">
        <v>108</v>
      </c>
      <c r="E14" s="80">
        <v>157000</v>
      </c>
      <c r="F14" s="147">
        <v>1.1599999999999999</v>
      </c>
      <c r="G14" s="104">
        <f>+F14*E14</f>
        <v>182120</v>
      </c>
      <c r="H14" s="80" t="s">
        <v>21</v>
      </c>
      <c r="I14" s="59">
        <v>9000</v>
      </c>
      <c r="J14" s="147">
        <f>+F14</f>
        <v>1.1599999999999999</v>
      </c>
      <c r="K14" s="137">
        <f>+J14*I14</f>
        <v>10440</v>
      </c>
      <c r="M14" s="264">
        <f>+M13+N14</f>
        <v>0.67324840764331217</v>
      </c>
      <c r="N14" s="264">
        <f t="shared" si="0"/>
        <v>7.32484076433121E-2</v>
      </c>
      <c r="O14" t="s">
        <v>60</v>
      </c>
      <c r="P14" s="47">
        <f>BUDG_ACHATS!F85</f>
        <v>11500</v>
      </c>
      <c r="Q14" s="47">
        <f>BUDG_ACHATS!H85</f>
        <v>14375</v>
      </c>
    </row>
    <row r="15" spans="2:17" ht="15.75" thickBot="1" x14ac:dyDescent="0.3">
      <c r="D15" s="81"/>
      <c r="E15" s="82"/>
      <c r="F15" s="148"/>
      <c r="G15" s="106"/>
      <c r="H15" s="82"/>
      <c r="I15" s="62"/>
      <c r="J15" s="148"/>
      <c r="K15" s="142"/>
      <c r="M15" s="264">
        <f>+M14+N15</f>
        <v>1</v>
      </c>
      <c r="N15" s="264">
        <f t="shared" si="0"/>
        <v>0.32675159235668788</v>
      </c>
      <c r="O15" t="s">
        <v>50</v>
      </c>
      <c r="P15" s="150">
        <f>BUDG_ACHATS!F94</f>
        <v>51300</v>
      </c>
      <c r="Q15" s="150">
        <f>BUDG_ACHATS!H94</f>
        <v>64125</v>
      </c>
    </row>
    <row r="16" spans="2:17" ht="15.75" thickTop="1" x14ac:dyDescent="0.25">
      <c r="D16" s="81" t="s">
        <v>33</v>
      </c>
      <c r="E16" s="82">
        <f>+E14+E10</f>
        <v>162000</v>
      </c>
      <c r="F16" s="330">
        <f>+G16/E16</f>
        <v>1.1562962962962964</v>
      </c>
      <c r="G16" s="106">
        <f>G14+G10</f>
        <v>187320</v>
      </c>
      <c r="H16" s="82" t="s">
        <v>33</v>
      </c>
      <c r="I16" s="62">
        <f>+I14+I10</f>
        <v>162000</v>
      </c>
      <c r="J16" s="148">
        <f>F16</f>
        <v>1.1562962962962964</v>
      </c>
      <c r="K16" s="142">
        <f>K10+K14+K12</f>
        <v>187320.00000000003</v>
      </c>
      <c r="P16" s="47">
        <f>SUM(P10:P15)</f>
        <v>157000</v>
      </c>
      <c r="Q16" s="47">
        <f>SUM(Q10:Q15)</f>
        <v>182120</v>
      </c>
    </row>
    <row r="17" spans="4:17" x14ac:dyDescent="0.25">
      <c r="E17" s="1">
        <f>E14/E10</f>
        <v>31.4</v>
      </c>
    </row>
    <row r="18" spans="4:17" s="4" customFormat="1" x14ac:dyDescent="0.25">
      <c r="D18" s="5"/>
      <c r="E18" s="5"/>
      <c r="F18" s="254" t="s">
        <v>113</v>
      </c>
      <c r="G18" s="255"/>
      <c r="H18" s="5" t="s">
        <v>114</v>
      </c>
      <c r="I18" s="52">
        <f>G10-K14</f>
        <v>-5240</v>
      </c>
      <c r="J18" s="254"/>
      <c r="K18" s="256"/>
      <c r="L18" s="5"/>
      <c r="M18" s="5"/>
      <c r="N18" s="265"/>
    </row>
    <row r="23" spans="4:17" s="253" customFormat="1" ht="5.25" customHeight="1" x14ac:dyDescent="0.25">
      <c r="D23" s="249"/>
      <c r="E23" s="249"/>
      <c r="F23" s="250"/>
      <c r="G23" s="251"/>
      <c r="H23" s="249"/>
      <c r="I23" s="192"/>
      <c r="J23" s="250"/>
      <c r="K23" s="252"/>
      <c r="L23" s="249"/>
      <c r="M23" s="249"/>
      <c r="N23" s="266"/>
    </row>
    <row r="25" spans="4:17" s="27" customFormat="1" ht="18.75" x14ac:dyDescent="0.3">
      <c r="D25" s="21"/>
      <c r="E25" s="21"/>
      <c r="F25" s="151"/>
      <c r="G25" s="152"/>
      <c r="H25" s="22" t="s">
        <v>110</v>
      </c>
      <c r="I25" s="153"/>
      <c r="J25" s="151"/>
      <c r="K25" s="154"/>
      <c r="L25" s="21"/>
      <c r="M25" s="21"/>
      <c r="N25" s="263"/>
    </row>
    <row r="27" spans="4:17" x14ac:dyDescent="0.25">
      <c r="D27" s="134"/>
      <c r="E27" s="78"/>
      <c r="F27" s="107"/>
      <c r="G27" s="103"/>
      <c r="H27" s="78"/>
      <c r="I27" s="56"/>
      <c r="J27" s="107"/>
      <c r="K27" s="139"/>
    </row>
    <row r="28" spans="4:17" ht="15.75" thickBot="1" x14ac:dyDescent="0.3">
      <c r="D28" s="135"/>
      <c r="E28" s="45" t="s">
        <v>1</v>
      </c>
      <c r="F28" s="146" t="s">
        <v>2</v>
      </c>
      <c r="G28" s="143" t="s">
        <v>4</v>
      </c>
      <c r="H28" s="45"/>
      <c r="I28" s="131" t="s">
        <v>1</v>
      </c>
      <c r="J28" s="146" t="s">
        <v>2</v>
      </c>
      <c r="K28" s="140" t="s">
        <v>4</v>
      </c>
    </row>
    <row r="29" spans="4:17" ht="16.5" thickTop="1" thickBot="1" x14ac:dyDescent="0.3">
      <c r="D29" s="79"/>
      <c r="E29" s="80"/>
      <c r="F29" s="147"/>
      <c r="G29" s="104"/>
      <c r="H29" s="80"/>
      <c r="I29" s="59"/>
      <c r="J29" s="147"/>
      <c r="K29" s="141"/>
      <c r="P29" t="s">
        <v>119</v>
      </c>
      <c r="Q29" t="s">
        <v>120</v>
      </c>
    </row>
    <row r="30" spans="4:17" ht="15.75" thickBot="1" x14ac:dyDescent="0.3">
      <c r="D30" s="134" t="s">
        <v>107</v>
      </c>
      <c r="E30" s="78">
        <v>5000</v>
      </c>
      <c r="F30" s="107">
        <v>2.2000000000000002</v>
      </c>
      <c r="G30" s="144">
        <f>+F30*E30</f>
        <v>11000</v>
      </c>
      <c r="H30" s="78" t="s">
        <v>109</v>
      </c>
      <c r="I30" s="56">
        <f>E37-I35</f>
        <v>40550</v>
      </c>
      <c r="J30" s="107">
        <f>+F35</f>
        <v>2.4885129604365619</v>
      </c>
      <c r="K30" s="139">
        <f>+J30*I30</f>
        <v>100909.20054570258</v>
      </c>
      <c r="M30" s="1">
        <f>N30</f>
        <v>0.11568894952251023</v>
      </c>
      <c r="N30" s="264">
        <f>P30/$P$37</f>
        <v>0.11568894952251023</v>
      </c>
      <c r="O30" t="s">
        <v>47</v>
      </c>
      <c r="P30" s="47">
        <f>+BUDG_ACHATS!J48</f>
        <v>4240</v>
      </c>
      <c r="Q30" s="47">
        <f>+BUDG_ACHATS!L48</f>
        <v>10176</v>
      </c>
    </row>
    <row r="31" spans="4:17" x14ac:dyDescent="0.25">
      <c r="D31" s="79"/>
      <c r="E31" s="80"/>
      <c r="F31" s="147"/>
      <c r="G31" s="104"/>
      <c r="H31" s="80"/>
      <c r="I31" s="59"/>
      <c r="J31" s="147"/>
      <c r="K31" s="141"/>
      <c r="P31" s="47"/>
      <c r="Q31" s="47"/>
    </row>
    <row r="32" spans="4:17" x14ac:dyDescent="0.25">
      <c r="D32" s="79"/>
      <c r="E32" s="80"/>
      <c r="F32" s="147"/>
      <c r="G32" s="104"/>
      <c r="H32" s="80" t="s">
        <v>202</v>
      </c>
      <c r="I32" s="59">
        <f>I30+I35</f>
        <v>41650</v>
      </c>
      <c r="J32" s="147">
        <f>+J30-F37</f>
        <v>3.4635409416153617E-2</v>
      </c>
      <c r="K32" s="141">
        <f>+J32*I32</f>
        <v>1442.5648021827981</v>
      </c>
      <c r="P32" s="47"/>
      <c r="Q32" s="47"/>
    </row>
    <row r="33" spans="4:17" x14ac:dyDescent="0.25">
      <c r="D33" s="79"/>
      <c r="E33" s="80"/>
      <c r="F33" s="147"/>
      <c r="G33" s="104"/>
      <c r="H33" s="80"/>
      <c r="I33" s="59"/>
      <c r="J33" s="147"/>
      <c r="K33" s="141"/>
      <c r="P33" s="47"/>
      <c r="Q33" s="47"/>
    </row>
    <row r="34" spans="4:17" ht="15.75" thickBot="1" x14ac:dyDescent="0.3">
      <c r="D34" s="79"/>
      <c r="E34" s="80"/>
      <c r="F34" s="147"/>
      <c r="G34" s="104"/>
      <c r="H34" s="80"/>
      <c r="I34" s="59"/>
      <c r="J34" s="147"/>
      <c r="K34" s="141"/>
      <c r="M34" s="264">
        <f>+N34+N30</f>
        <v>0.55743519781718964</v>
      </c>
      <c r="N34" s="264">
        <f t="shared" ref="N34:N36" si="1">P34/$P$37</f>
        <v>0.4417462482946794</v>
      </c>
      <c r="O34" t="s">
        <v>121</v>
      </c>
      <c r="P34" s="47">
        <f>+BUDG_ACHATS!J69</f>
        <v>16190</v>
      </c>
      <c r="Q34" s="47">
        <f>+BUDG_ACHATS!L69</f>
        <v>38856</v>
      </c>
    </row>
    <row r="35" spans="4:17" ht="15.75" thickBot="1" x14ac:dyDescent="0.3">
      <c r="D35" s="79" t="s">
        <v>108</v>
      </c>
      <c r="E35" s="80">
        <v>36650</v>
      </c>
      <c r="F35" s="147">
        <f>+BUDG_ACHATS!K98</f>
        <v>2.4885129604365619</v>
      </c>
      <c r="G35" s="104">
        <f>+F35*E35</f>
        <v>91204</v>
      </c>
      <c r="H35" s="80" t="s">
        <v>21</v>
      </c>
      <c r="I35" s="59">
        <v>1100</v>
      </c>
      <c r="J35" s="147">
        <f>+F35</f>
        <v>2.4885129604365619</v>
      </c>
      <c r="K35" s="137">
        <f>I35*J35</f>
        <v>2737.364256480218</v>
      </c>
      <c r="M35" s="264">
        <f>+M34+N35</f>
        <v>0.65088676671214185</v>
      </c>
      <c r="N35" s="264">
        <f t="shared" si="1"/>
        <v>9.345156889495225E-2</v>
      </c>
      <c r="O35" t="s">
        <v>60</v>
      </c>
      <c r="P35" s="47">
        <f>+BUDG_ACHATS!J85</f>
        <v>3425</v>
      </c>
      <c r="Q35" s="47">
        <f>+BUDG_ACHATS!L85</f>
        <v>8905</v>
      </c>
    </row>
    <row r="36" spans="4:17" ht="15.75" thickBot="1" x14ac:dyDescent="0.3">
      <c r="D36" s="81"/>
      <c r="E36" s="82"/>
      <c r="F36" s="148"/>
      <c r="G36" s="106"/>
      <c r="H36" s="82"/>
      <c r="I36" s="62"/>
      <c r="J36" s="148"/>
      <c r="K36" s="142"/>
      <c r="M36" s="264">
        <f>+M35+N36</f>
        <v>1</v>
      </c>
      <c r="N36" s="264">
        <f t="shared" si="1"/>
        <v>0.34911323328785809</v>
      </c>
      <c r="O36" t="s">
        <v>50</v>
      </c>
      <c r="P36" s="150">
        <f>+BUDG_ACHATS!J94</f>
        <v>12795</v>
      </c>
      <c r="Q36" s="150">
        <f>+BUDG_ACHATS!L94</f>
        <v>33267</v>
      </c>
    </row>
    <row r="37" spans="4:17" s="331" customFormat="1" ht="21.75" thickTop="1" x14ac:dyDescent="0.35">
      <c r="D37" s="332" t="s">
        <v>33</v>
      </c>
      <c r="E37" s="333">
        <f>+E35+E30</f>
        <v>41650</v>
      </c>
      <c r="F37" s="334">
        <f>+G37/E37</f>
        <v>2.4538775510204083</v>
      </c>
      <c r="G37" s="335">
        <f>G35+G30</f>
        <v>102204</v>
      </c>
      <c r="H37" s="333" t="s">
        <v>33</v>
      </c>
      <c r="I37" s="333">
        <f>+I35+I30</f>
        <v>41650</v>
      </c>
      <c r="J37" s="336"/>
      <c r="K37" s="337">
        <f>K35+K30-K32</f>
        <v>102204</v>
      </c>
      <c r="L37" s="338"/>
      <c r="M37" s="338"/>
      <c r="N37" s="339"/>
      <c r="P37" s="340">
        <f>SUM(P30:P36)</f>
        <v>36650</v>
      </c>
      <c r="Q37" s="340">
        <f>SUM(Q30:Q36)</f>
        <v>91204</v>
      </c>
    </row>
    <row r="38" spans="4:17" x14ac:dyDescent="0.25">
      <c r="E38" s="1">
        <f>+E35/E30</f>
        <v>7.33</v>
      </c>
    </row>
    <row r="39" spans="4:17" s="4" customFormat="1" x14ac:dyDescent="0.25">
      <c r="D39" s="5"/>
      <c r="E39" s="5"/>
      <c r="F39" s="254" t="s">
        <v>113</v>
      </c>
      <c r="G39" s="255"/>
      <c r="H39" s="5" t="s">
        <v>114</v>
      </c>
      <c r="I39" s="256">
        <f>G30-K35</f>
        <v>8262.6357435197824</v>
      </c>
      <c r="J39" s="254"/>
      <c r="K39" s="256"/>
      <c r="L39" s="5"/>
      <c r="M39" s="5"/>
      <c r="N39" s="265"/>
    </row>
    <row r="40" spans="4:17" x14ac:dyDescent="0.25">
      <c r="I40" s="138"/>
    </row>
    <row r="41" spans="4:17" x14ac:dyDescent="0.25">
      <c r="I41" s="138"/>
    </row>
    <row r="42" spans="4:17" x14ac:dyDescent="0.25">
      <c r="I42" s="138"/>
    </row>
    <row r="43" spans="4:17" x14ac:dyDescent="0.25">
      <c r="I43" s="138"/>
    </row>
    <row r="44" spans="4:17" x14ac:dyDescent="0.25">
      <c r="I44" s="138"/>
    </row>
    <row r="45" spans="4:17" x14ac:dyDescent="0.25">
      <c r="I45" s="138"/>
    </row>
    <row r="46" spans="4:17" x14ac:dyDescent="0.25">
      <c r="I46" s="138"/>
    </row>
    <row r="47" spans="4:17" x14ac:dyDescent="0.25">
      <c r="I47" s="138"/>
    </row>
    <row r="48" spans="4:17" x14ac:dyDescent="0.25">
      <c r="I48" s="138"/>
    </row>
    <row r="49" spans="4:14" x14ac:dyDescent="0.25">
      <c r="I49" s="138"/>
    </row>
    <row r="50" spans="4:14" x14ac:dyDescent="0.25">
      <c r="I50" s="138"/>
    </row>
    <row r="51" spans="4:14" x14ac:dyDescent="0.25">
      <c r="I51" s="138"/>
    </row>
    <row r="52" spans="4:14" x14ac:dyDescent="0.25">
      <c r="I52" s="138"/>
    </row>
    <row r="53" spans="4:14" x14ac:dyDescent="0.25">
      <c r="I53" s="138"/>
    </row>
    <row r="54" spans="4:14" x14ac:dyDescent="0.25">
      <c r="I54" s="138"/>
    </row>
    <row r="55" spans="4:14" s="253" customFormat="1" ht="3.75" customHeight="1" x14ac:dyDescent="0.25">
      <c r="D55" s="249"/>
      <c r="E55" s="249"/>
      <c r="F55" s="250"/>
      <c r="G55" s="251"/>
      <c r="H55" s="249"/>
      <c r="I55" s="192"/>
      <c r="J55" s="250"/>
      <c r="K55" s="252"/>
      <c r="L55" s="249"/>
      <c r="M55" s="249"/>
      <c r="N55" s="266"/>
    </row>
    <row r="57" spans="4:14" s="20" customFormat="1" ht="18.75" x14ac:dyDescent="0.3">
      <c r="D57" s="155"/>
      <c r="E57" s="155"/>
      <c r="F57" s="156"/>
      <c r="G57" s="157"/>
      <c r="H57" s="155" t="s">
        <v>111</v>
      </c>
      <c r="I57" s="158"/>
      <c r="J57" s="156"/>
      <c r="K57" s="159"/>
      <c r="L57" s="155"/>
      <c r="M57" s="155"/>
      <c r="N57" s="267"/>
    </row>
    <row r="59" spans="4:14" x14ac:dyDescent="0.25">
      <c r="D59" s="134"/>
      <c r="E59" s="78"/>
      <c r="F59" s="107"/>
      <c r="G59" s="103"/>
      <c r="H59" s="78"/>
      <c r="I59" s="56"/>
      <c r="J59" s="107"/>
      <c r="K59" s="139"/>
    </row>
    <row r="60" spans="4:14" ht="15.75" thickBot="1" x14ac:dyDescent="0.3">
      <c r="D60" s="135"/>
      <c r="E60" s="45" t="s">
        <v>1</v>
      </c>
      <c r="F60" s="146" t="s">
        <v>2</v>
      </c>
      <c r="G60" s="143" t="s">
        <v>4</v>
      </c>
      <c r="H60" s="45"/>
      <c r="I60" s="131" t="s">
        <v>1</v>
      </c>
      <c r="J60" s="146" t="s">
        <v>2</v>
      </c>
      <c r="K60" s="140" t="s">
        <v>4</v>
      </c>
    </row>
    <row r="61" spans="4:14" ht="16.5" thickTop="1" thickBot="1" x14ac:dyDescent="0.3">
      <c r="D61" s="79"/>
      <c r="E61" s="80"/>
      <c r="F61" s="147"/>
      <c r="G61" s="104"/>
      <c r="H61" s="80"/>
      <c r="I61" s="59"/>
      <c r="J61" s="147"/>
      <c r="K61" s="141"/>
    </row>
    <row r="62" spans="4:14" ht="15.75" thickBot="1" x14ac:dyDescent="0.3">
      <c r="D62" s="134" t="s">
        <v>107</v>
      </c>
      <c r="E62" s="78">
        <v>140</v>
      </c>
      <c r="F62" s="107">
        <v>340</v>
      </c>
      <c r="G62" s="144">
        <f>+E62*F62</f>
        <v>47600</v>
      </c>
      <c r="H62" s="78" t="s">
        <v>109</v>
      </c>
      <c r="I62" s="56">
        <v>6000</v>
      </c>
      <c r="J62" s="107">
        <f>+F66</f>
        <v>353.63629518072287</v>
      </c>
      <c r="K62" s="139">
        <f>+J62*I62</f>
        <v>2121817.771084337</v>
      </c>
    </row>
    <row r="63" spans="4:14" ht="15.75" thickBot="1" x14ac:dyDescent="0.3">
      <c r="D63" s="79"/>
      <c r="E63" s="80"/>
      <c r="F63" s="147"/>
      <c r="G63" s="104"/>
      <c r="H63" s="80"/>
      <c r="I63" s="59"/>
      <c r="J63" s="147"/>
      <c r="K63" s="141"/>
    </row>
    <row r="64" spans="4:14" ht="15.75" thickBot="1" x14ac:dyDescent="0.3">
      <c r="D64" s="79" t="s">
        <v>108</v>
      </c>
      <c r="E64" s="80">
        <v>6500</v>
      </c>
      <c r="F64" s="147">
        <v>353.93</v>
      </c>
      <c r="G64" s="104">
        <f>+F64*E64</f>
        <v>2300545</v>
      </c>
      <c r="H64" s="80" t="s">
        <v>21</v>
      </c>
      <c r="I64" s="59">
        <f>E66-I62</f>
        <v>640</v>
      </c>
      <c r="J64" s="147">
        <f>+J62</f>
        <v>353.63629518072287</v>
      </c>
      <c r="K64" s="137">
        <f>+J64*I64</f>
        <v>226327.22891566262</v>
      </c>
    </row>
    <row r="65" spans="4:14" x14ac:dyDescent="0.25">
      <c r="D65" s="81"/>
      <c r="E65" s="82"/>
      <c r="F65" s="148"/>
      <c r="G65" s="106"/>
      <c r="H65" s="82"/>
      <c r="I65" s="62"/>
      <c r="J65" s="148"/>
      <c r="K65" s="142"/>
    </row>
    <row r="66" spans="4:14" x14ac:dyDescent="0.25">
      <c r="D66" s="81" t="s">
        <v>33</v>
      </c>
      <c r="E66" s="82">
        <f>+E64+E62</f>
        <v>6640</v>
      </c>
      <c r="F66" s="148">
        <f>+G66/E66</f>
        <v>353.63629518072287</v>
      </c>
      <c r="G66" s="106">
        <f>+G64+G62</f>
        <v>2348145</v>
      </c>
      <c r="H66" s="82" t="s">
        <v>33</v>
      </c>
      <c r="I66" s="62">
        <f>+I64+I62</f>
        <v>6640</v>
      </c>
      <c r="J66" s="148">
        <f>+K66/I66</f>
        <v>353.63629518072281</v>
      </c>
      <c r="K66" s="142">
        <f>K64+K62</f>
        <v>2348144.9999999995</v>
      </c>
    </row>
    <row r="68" spans="4:14" s="4" customFormat="1" x14ac:dyDescent="0.25">
      <c r="D68" s="5"/>
      <c r="E68" s="5"/>
      <c r="F68" s="254" t="s">
        <v>113</v>
      </c>
      <c r="G68" s="255"/>
      <c r="H68" s="5" t="s">
        <v>115</v>
      </c>
      <c r="I68" s="52">
        <f>+K64-G62</f>
        <v>178727.22891566262</v>
      </c>
      <c r="J68" s="254"/>
      <c r="K68" s="256"/>
      <c r="L68" s="5"/>
      <c r="M68" s="5"/>
      <c r="N68" s="265"/>
    </row>
    <row r="73" spans="4:14" s="253" customFormat="1" ht="3.75" customHeight="1" x14ac:dyDescent="0.25">
      <c r="D73" s="249"/>
      <c r="E73" s="249"/>
      <c r="F73" s="250"/>
      <c r="G73" s="251"/>
      <c r="H73" s="249"/>
      <c r="I73" s="192"/>
      <c r="J73" s="250"/>
      <c r="K73" s="252"/>
      <c r="L73" s="249"/>
      <c r="M73" s="249"/>
      <c r="N73" s="266"/>
    </row>
    <row r="75" spans="4:14" s="20" customFormat="1" ht="18.75" x14ac:dyDescent="0.3">
      <c r="D75" s="155"/>
      <c r="E75" s="155"/>
      <c r="F75" s="156"/>
      <c r="G75" s="157"/>
      <c r="H75" s="155" t="s">
        <v>112</v>
      </c>
      <c r="I75" s="158"/>
      <c r="J75" s="156"/>
      <c r="K75" s="159"/>
      <c r="L75" s="155"/>
      <c r="M75" s="155"/>
      <c r="N75" s="267"/>
    </row>
    <row r="77" spans="4:14" x14ac:dyDescent="0.25">
      <c r="D77" s="134"/>
      <c r="E77" s="78"/>
      <c r="F77" s="107"/>
      <c r="G77" s="103"/>
      <c r="H77" s="78"/>
      <c r="I77" s="56"/>
      <c r="J77" s="107"/>
      <c r="K77" s="139"/>
    </row>
    <row r="78" spans="4:14" ht="15.75" thickBot="1" x14ac:dyDescent="0.3">
      <c r="D78" s="135"/>
      <c r="E78" s="45" t="s">
        <v>1</v>
      </c>
      <c r="F78" s="146" t="s">
        <v>2</v>
      </c>
      <c r="G78" s="143" t="s">
        <v>4</v>
      </c>
      <c r="H78" s="45"/>
      <c r="I78" s="131" t="s">
        <v>1</v>
      </c>
      <c r="J78" s="146" t="s">
        <v>2</v>
      </c>
      <c r="K78" s="140" t="s">
        <v>4</v>
      </c>
    </row>
    <row r="79" spans="4:14" ht="16.5" thickTop="1" thickBot="1" x14ac:dyDescent="0.3">
      <c r="D79" s="79"/>
      <c r="E79" s="80"/>
      <c r="F79" s="147"/>
      <c r="G79" s="104"/>
      <c r="H79" s="80"/>
      <c r="I79" s="59"/>
      <c r="J79" s="147"/>
      <c r="K79" s="141"/>
    </row>
    <row r="80" spans="4:14" ht="15.75" thickBot="1" x14ac:dyDescent="0.3">
      <c r="D80" s="134" t="s">
        <v>107</v>
      </c>
      <c r="E80" s="78">
        <v>50</v>
      </c>
      <c r="F80" s="107">
        <v>540</v>
      </c>
      <c r="G80" s="144">
        <f>+F80*E80</f>
        <v>27000</v>
      </c>
      <c r="H80" s="78" t="s">
        <v>109</v>
      </c>
      <c r="I80" s="56">
        <v>1100</v>
      </c>
      <c r="J80" s="107">
        <f>+F84</f>
        <v>547.66666666666663</v>
      </c>
      <c r="K80" s="139">
        <f>+J80*I80</f>
        <v>602433.33333333326</v>
      </c>
    </row>
    <row r="81" spans="4:14" ht="15.75" thickBot="1" x14ac:dyDescent="0.3">
      <c r="D81" s="79"/>
      <c r="E81" s="80"/>
      <c r="F81" s="147"/>
      <c r="G81" s="104"/>
      <c r="H81" s="80"/>
      <c r="I81" s="59"/>
      <c r="J81" s="147"/>
      <c r="K81" s="141"/>
    </row>
    <row r="82" spans="4:14" ht="15.75" thickBot="1" x14ac:dyDescent="0.3">
      <c r="D82" s="79" t="s">
        <v>108</v>
      </c>
      <c r="E82" s="80">
        <v>1150</v>
      </c>
      <c r="F82" s="147">
        <v>548</v>
      </c>
      <c r="G82" s="104">
        <f>+F82*E82</f>
        <v>630200</v>
      </c>
      <c r="H82" s="80" t="s">
        <v>21</v>
      </c>
      <c r="I82" s="59">
        <f>E84-I80</f>
        <v>100</v>
      </c>
      <c r="J82" s="147">
        <f>J80</f>
        <v>547.66666666666663</v>
      </c>
      <c r="K82" s="137">
        <f>J82*I82</f>
        <v>54766.666666666664</v>
      </c>
    </row>
    <row r="83" spans="4:14" x14ac:dyDescent="0.25">
      <c r="D83" s="81"/>
      <c r="E83" s="82"/>
      <c r="F83" s="148"/>
      <c r="G83" s="106"/>
      <c r="H83" s="82"/>
      <c r="I83" s="62"/>
      <c r="J83" s="148"/>
      <c r="K83" s="142"/>
    </row>
    <row r="84" spans="4:14" x14ac:dyDescent="0.25">
      <c r="D84" s="81" t="s">
        <v>33</v>
      </c>
      <c r="E84" s="82">
        <f>+E82+E80</f>
        <v>1200</v>
      </c>
      <c r="F84" s="148">
        <f>+G84/E84</f>
        <v>547.66666666666663</v>
      </c>
      <c r="G84" s="106">
        <f>G80+G82</f>
        <v>657200</v>
      </c>
      <c r="H84" s="82" t="s">
        <v>33</v>
      </c>
      <c r="I84" s="62">
        <f>I82+I80</f>
        <v>1200</v>
      </c>
      <c r="J84" s="148">
        <f>+K84/I84</f>
        <v>547.66666666666652</v>
      </c>
      <c r="K84" s="142">
        <f>K82+K80</f>
        <v>657199.99999999988</v>
      </c>
    </row>
    <row r="86" spans="4:14" s="4" customFormat="1" x14ac:dyDescent="0.25">
      <c r="D86" s="5"/>
      <c r="E86" s="5"/>
      <c r="F86" s="254" t="s">
        <v>113</v>
      </c>
      <c r="G86" s="255"/>
      <c r="H86" s="5" t="s">
        <v>115</v>
      </c>
      <c r="I86" s="52">
        <f>K82-G80</f>
        <v>27766.666666666664</v>
      </c>
      <c r="J86" s="254"/>
      <c r="K86" s="256"/>
      <c r="L86" s="5"/>
      <c r="M86" s="5"/>
      <c r="N86" s="265"/>
    </row>
    <row r="88" spans="4:14" s="253" customFormat="1" ht="5.25" customHeight="1" x14ac:dyDescent="0.25">
      <c r="D88" s="249"/>
      <c r="E88" s="249"/>
      <c r="F88" s="250"/>
      <c r="G88" s="251"/>
      <c r="H88" s="249"/>
      <c r="I88" s="192"/>
      <c r="J88" s="250"/>
      <c r="K88" s="252"/>
      <c r="L88" s="249"/>
      <c r="M88" s="249"/>
      <c r="N88" s="266"/>
    </row>
    <row r="89" spans="4:14" s="257" customFormat="1" ht="19.5" customHeight="1" x14ac:dyDescent="0.25">
      <c r="D89" s="258"/>
      <c r="E89" s="258"/>
      <c r="F89" s="259"/>
      <c r="G89" s="260"/>
      <c r="H89" s="258"/>
      <c r="I89" s="261"/>
      <c r="J89" s="259"/>
      <c r="K89" s="262"/>
      <c r="L89" s="258"/>
      <c r="M89" s="258"/>
      <c r="N89" s="268"/>
    </row>
    <row r="90" spans="4:14" x14ac:dyDescent="0.25">
      <c r="F90" s="145" t="s">
        <v>116</v>
      </c>
      <c r="I90" s="46">
        <f>+I86+I68</f>
        <v>206493.89558232928</v>
      </c>
    </row>
    <row r="95" spans="4:14" x14ac:dyDescent="0.25">
      <c r="F95" s="145">
        <v>20</v>
      </c>
    </row>
    <row r="96" spans="4:14" x14ac:dyDescent="0.25">
      <c r="F96" s="145">
        <v>1.1599999999999999</v>
      </c>
    </row>
    <row r="97" spans="6:6" x14ac:dyDescent="0.25">
      <c r="F97" s="145">
        <f>+F95*F96</f>
        <v>23.2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opLeftCell="B27" zoomScale="130" zoomScaleNormal="130" workbookViewId="0">
      <selection activeCell="B34" sqref="B34"/>
    </sheetView>
  </sheetViews>
  <sheetFormatPr baseColWidth="10" defaultRowHeight="15" x14ac:dyDescent="0.25"/>
  <cols>
    <col min="2" max="2" width="12.28515625" customWidth="1"/>
    <col min="3" max="3" width="13.28515625" style="1" customWidth="1"/>
    <col min="4" max="4" width="12.42578125" style="1" customWidth="1"/>
    <col min="5" max="5" width="18.7109375" style="1" customWidth="1"/>
    <col min="6" max="6" width="15.5703125" style="1" customWidth="1"/>
    <col min="7" max="7" width="24.85546875" style="138" customWidth="1"/>
    <col min="8" max="8" width="20.5703125" style="1" customWidth="1"/>
    <col min="9" max="9" width="5.7109375" style="1" customWidth="1"/>
    <col min="10" max="10" width="13.140625" style="138" customWidth="1"/>
    <col min="11" max="11" width="11.42578125" style="1"/>
  </cols>
  <sheetData>
    <row r="2" spans="3:11" s="341" customFormat="1" ht="21" x14ac:dyDescent="0.35">
      <c r="C2" s="343" t="s">
        <v>208</v>
      </c>
      <c r="D2" s="343"/>
      <c r="E2" s="343"/>
      <c r="F2" s="343"/>
      <c r="G2" s="367"/>
      <c r="H2" s="343"/>
      <c r="I2" s="343"/>
      <c r="J2" s="367"/>
      <c r="K2" s="343"/>
    </row>
    <row r="4" spans="3:11" x14ac:dyDescent="0.25">
      <c r="D4" s="2" t="s">
        <v>203</v>
      </c>
      <c r="E4" s="2" t="s">
        <v>204</v>
      </c>
      <c r="F4" s="2" t="s">
        <v>205</v>
      </c>
      <c r="G4" s="370" t="s">
        <v>206</v>
      </c>
      <c r="H4" s="2" t="s">
        <v>207</v>
      </c>
    </row>
    <row r="5" spans="3:11" x14ac:dyDescent="0.25">
      <c r="C5" s="2" t="s">
        <v>0</v>
      </c>
      <c r="D5" s="51">
        <v>6500</v>
      </c>
      <c r="E5" s="348">
        <v>12.5</v>
      </c>
      <c r="F5" s="51">
        <f>+D5*E5</f>
        <v>81250</v>
      </c>
      <c r="G5" s="370">
        <v>20</v>
      </c>
      <c r="H5" s="51">
        <f>+G5*F5</f>
        <v>1625000</v>
      </c>
      <c r="I5" s="46"/>
    </row>
    <row r="6" spans="3:11" x14ac:dyDescent="0.25">
      <c r="C6" s="2" t="s">
        <v>197</v>
      </c>
      <c r="D6" s="51">
        <v>1150</v>
      </c>
      <c r="E6" s="51">
        <v>20</v>
      </c>
      <c r="F6" s="51">
        <f>+E6*D6</f>
        <v>23000</v>
      </c>
      <c r="G6" s="370">
        <v>20</v>
      </c>
      <c r="H6" s="51">
        <f>+G6*F6</f>
        <v>460000</v>
      </c>
      <c r="I6" s="46"/>
    </row>
    <row r="7" spans="3:11" s="341" customFormat="1" ht="21" x14ac:dyDescent="0.35">
      <c r="C7" s="349" t="s">
        <v>33</v>
      </c>
      <c r="D7" s="189"/>
      <c r="E7" s="189"/>
      <c r="F7" s="189">
        <f>F5+F6</f>
        <v>104250</v>
      </c>
      <c r="G7" s="374"/>
      <c r="H7" s="189">
        <f>H5+H6</f>
        <v>2085000</v>
      </c>
      <c r="I7" s="342"/>
      <c r="J7" s="367"/>
      <c r="K7" s="343"/>
    </row>
    <row r="8" spans="3:11" x14ac:dyDescent="0.25">
      <c r="D8" s="46"/>
      <c r="E8" s="46"/>
      <c r="F8" s="46"/>
      <c r="H8" s="46"/>
      <c r="I8" s="46"/>
    </row>
    <row r="9" spans="3:11" x14ac:dyDescent="0.25">
      <c r="D9" s="46"/>
      <c r="E9" s="46"/>
      <c r="F9" s="46"/>
      <c r="H9" s="46"/>
      <c r="I9" s="46"/>
    </row>
    <row r="10" spans="3:11" x14ac:dyDescent="0.25">
      <c r="D10" s="46"/>
      <c r="E10" s="46" t="s">
        <v>209</v>
      </c>
      <c r="F10" s="46"/>
      <c r="H10" s="46"/>
      <c r="I10" s="46"/>
    </row>
    <row r="11" spans="3:11" x14ac:dyDescent="0.25">
      <c r="D11" s="46"/>
      <c r="E11" s="46" t="s">
        <v>210</v>
      </c>
      <c r="F11" s="46"/>
      <c r="H11" s="46"/>
      <c r="I11" s="46"/>
    </row>
    <row r="12" spans="3:11" x14ac:dyDescent="0.25">
      <c r="D12" s="46"/>
      <c r="E12" s="46"/>
      <c r="F12" s="46"/>
      <c r="H12" s="46"/>
      <c r="I12" s="46"/>
    </row>
    <row r="13" spans="3:11" x14ac:dyDescent="0.25">
      <c r="D13" s="46"/>
      <c r="E13" s="46"/>
      <c r="F13" s="46"/>
      <c r="H13" s="46"/>
      <c r="I13" s="46"/>
    </row>
    <row r="14" spans="3:11" x14ac:dyDescent="0.25">
      <c r="D14" s="46"/>
      <c r="E14" s="46"/>
      <c r="F14" s="46"/>
      <c r="H14" s="46"/>
      <c r="I14" s="46"/>
    </row>
    <row r="15" spans="3:11" x14ac:dyDescent="0.25">
      <c r="D15" s="46"/>
      <c r="E15" s="46"/>
      <c r="F15" s="46"/>
      <c r="H15" s="46"/>
      <c r="I15" s="46"/>
    </row>
    <row r="16" spans="3:11" x14ac:dyDescent="0.25">
      <c r="D16" s="46"/>
      <c r="E16" s="46"/>
      <c r="F16" s="46"/>
      <c r="H16" s="46"/>
      <c r="I16" s="46"/>
    </row>
    <row r="17" spans="3:11" x14ac:dyDescent="0.25">
      <c r="D17" s="46"/>
      <c r="E17" s="46"/>
      <c r="F17" s="46"/>
      <c r="H17" s="46"/>
      <c r="I17" s="46"/>
    </row>
    <row r="18" spans="3:11" x14ac:dyDescent="0.25">
      <c r="D18" s="46"/>
      <c r="E18" s="46"/>
      <c r="F18" s="46"/>
      <c r="H18" s="46"/>
      <c r="I18" s="46"/>
    </row>
    <row r="19" spans="3:11" x14ac:dyDescent="0.25">
      <c r="D19" s="46"/>
      <c r="E19" s="46"/>
      <c r="F19" s="46"/>
      <c r="H19" s="46"/>
      <c r="I19" s="46"/>
    </row>
    <row r="20" spans="3:11" x14ac:dyDescent="0.25">
      <c r="D20" s="46"/>
      <c r="E20" s="46"/>
      <c r="F20" s="46"/>
      <c r="H20" s="46"/>
      <c r="I20" s="46"/>
    </row>
    <row r="21" spans="3:11" x14ac:dyDescent="0.25">
      <c r="D21" s="46"/>
      <c r="E21" s="46"/>
      <c r="F21" s="46"/>
      <c r="H21" s="46"/>
      <c r="I21" s="46"/>
    </row>
    <row r="22" spans="3:11" x14ac:dyDescent="0.25">
      <c r="D22" s="46"/>
      <c r="E22" s="46"/>
      <c r="F22" s="46"/>
      <c r="H22" s="46"/>
      <c r="I22" s="46"/>
    </row>
    <row r="23" spans="3:11" x14ac:dyDescent="0.25">
      <c r="D23" s="46"/>
      <c r="E23" s="46"/>
      <c r="F23" s="46"/>
      <c r="H23" s="46"/>
      <c r="I23" s="46"/>
    </row>
    <row r="24" spans="3:11" x14ac:dyDescent="0.25">
      <c r="D24" s="46"/>
      <c r="E24" s="46"/>
      <c r="F24" s="46"/>
      <c r="H24" s="46"/>
      <c r="I24" s="46"/>
    </row>
    <row r="25" spans="3:11" x14ac:dyDescent="0.25">
      <c r="D25" s="46"/>
      <c r="E25" s="46"/>
      <c r="F25" s="46"/>
      <c r="H25" s="46"/>
      <c r="I25" s="46"/>
    </row>
    <row r="26" spans="3:11" x14ac:dyDescent="0.25">
      <c r="D26" s="46"/>
      <c r="E26" s="46"/>
      <c r="F26" s="46"/>
      <c r="H26" s="46"/>
      <c r="I26" s="46"/>
    </row>
    <row r="27" spans="3:11" ht="15.75" thickBot="1" x14ac:dyDescent="0.3">
      <c r="C27" s="45"/>
      <c r="D27" s="131"/>
      <c r="E27" s="131" t="s">
        <v>176</v>
      </c>
      <c r="F27" s="131" t="s">
        <v>177</v>
      </c>
      <c r="G27" s="375" t="s">
        <v>33</v>
      </c>
      <c r="H27" s="46"/>
      <c r="I27" s="46"/>
    </row>
    <row r="28" spans="3:11" ht="15.75" thickTop="1" x14ac:dyDescent="0.25">
      <c r="D28" s="46"/>
      <c r="E28" s="46"/>
      <c r="F28" s="46"/>
      <c r="H28" s="46"/>
      <c r="I28" s="46"/>
    </row>
    <row r="29" spans="3:11" x14ac:dyDescent="0.25">
      <c r="D29" s="46"/>
      <c r="E29" s="46"/>
      <c r="F29" s="46"/>
      <c r="H29" s="46"/>
      <c r="I29" s="46"/>
    </row>
    <row r="30" spans="3:11" x14ac:dyDescent="0.25">
      <c r="C30" s="2" t="s">
        <v>178</v>
      </c>
      <c r="D30" s="51"/>
      <c r="E30" s="351">
        <f>+bud_comm!J46</f>
        <v>313679.99999999994</v>
      </c>
      <c r="F30" s="51">
        <f>+bud_comm!J40</f>
        <v>252000</v>
      </c>
      <c r="G30" s="370">
        <f>+E30+F30</f>
        <v>565680</v>
      </c>
      <c r="H30" s="192" t="s">
        <v>213</v>
      </c>
      <c r="I30" s="46"/>
    </row>
    <row r="31" spans="3:11" s="54" customFormat="1" ht="18.75" x14ac:dyDescent="0.3">
      <c r="C31" s="23" t="s">
        <v>179</v>
      </c>
      <c r="D31" s="344"/>
      <c r="E31" s="344">
        <f>+H7</f>
        <v>2085000</v>
      </c>
      <c r="F31" s="344"/>
      <c r="G31" s="376">
        <f t="shared" ref="G31:G33" si="0">+E31+F31</f>
        <v>2085000</v>
      </c>
      <c r="H31" s="241"/>
      <c r="I31" s="241"/>
      <c r="J31" s="368"/>
      <c r="K31" s="22"/>
    </row>
    <row r="32" spans="3:11" x14ac:dyDescent="0.25">
      <c r="C32" s="2" t="s">
        <v>180</v>
      </c>
      <c r="D32" s="51"/>
      <c r="E32" s="51">
        <v>29000</v>
      </c>
      <c r="F32" s="51">
        <v>70000</v>
      </c>
      <c r="G32" s="370">
        <f t="shared" si="0"/>
        <v>99000</v>
      </c>
      <c r="H32" s="46"/>
      <c r="I32" s="46"/>
    </row>
    <row r="33" spans="1:11" x14ac:dyDescent="0.25">
      <c r="A33" t="s">
        <v>182</v>
      </c>
      <c r="C33" s="2" t="s">
        <v>181</v>
      </c>
      <c r="D33" s="51"/>
      <c r="E33" s="350">
        <v>40000</v>
      </c>
      <c r="F33" s="351"/>
      <c r="G33" s="370">
        <f t="shared" si="0"/>
        <v>40000</v>
      </c>
      <c r="H33" s="192" t="s">
        <v>214</v>
      </c>
      <c r="I33" s="46"/>
    </row>
    <row r="34" spans="1:11" x14ac:dyDescent="0.25">
      <c r="C34" s="2"/>
      <c r="D34" s="51"/>
      <c r="E34" s="51"/>
      <c r="F34" s="51"/>
      <c r="G34" s="370"/>
      <c r="H34" s="46"/>
      <c r="I34" s="46"/>
    </row>
    <row r="35" spans="1:11" x14ac:dyDescent="0.25">
      <c r="C35" s="2" t="s">
        <v>183</v>
      </c>
      <c r="D35" s="51"/>
      <c r="E35" s="51"/>
      <c r="F35" s="51">
        <v>230450</v>
      </c>
      <c r="G35" s="370">
        <f>+F35</f>
        <v>230450</v>
      </c>
      <c r="H35" s="46"/>
      <c r="I35" s="46"/>
    </row>
    <row r="36" spans="1:11" x14ac:dyDescent="0.25">
      <c r="C36" s="2"/>
      <c r="D36" s="51"/>
      <c r="E36" s="51"/>
      <c r="F36" s="51"/>
      <c r="G36" s="370"/>
      <c r="H36" s="46"/>
      <c r="I36" s="46"/>
    </row>
    <row r="37" spans="1:11" s="341" customFormat="1" ht="21" x14ac:dyDescent="0.35">
      <c r="C37" s="349" t="s">
        <v>184</v>
      </c>
      <c r="D37" s="189"/>
      <c r="E37" s="189">
        <f>SUM(E30:E35)</f>
        <v>2467680</v>
      </c>
      <c r="F37" s="189">
        <f t="shared" ref="F37:G37" si="1">SUM(F30:F35)</f>
        <v>552450</v>
      </c>
      <c r="G37" s="374">
        <f t="shared" si="1"/>
        <v>3020130</v>
      </c>
      <c r="H37" s="342"/>
      <c r="I37" s="342"/>
      <c r="J37" s="367"/>
      <c r="K37" s="343"/>
    </row>
    <row r="38" spans="1:11" x14ac:dyDescent="0.25">
      <c r="C38" s="2" t="s">
        <v>185</v>
      </c>
      <c r="D38" s="51"/>
      <c r="E38" s="51">
        <f>E37/4</f>
        <v>616920</v>
      </c>
      <c r="F38" s="51">
        <f t="shared" ref="F38:G38" si="2">F37/4</f>
        <v>138112.5</v>
      </c>
      <c r="G38" s="370">
        <f t="shared" si="2"/>
        <v>755032.5</v>
      </c>
      <c r="H38" s="46"/>
      <c r="I38" s="46"/>
    </row>
    <row r="39" spans="1:11" x14ac:dyDescent="0.25">
      <c r="D39" s="46"/>
      <c r="E39" s="46"/>
      <c r="F39" s="46"/>
      <c r="H39" s="46"/>
      <c r="I39" s="46"/>
    </row>
    <row r="40" spans="1:11" s="341" customFormat="1" ht="21" x14ac:dyDescent="0.35">
      <c r="C40" s="343" t="s">
        <v>186</v>
      </c>
      <c r="D40" s="352" t="s">
        <v>211</v>
      </c>
      <c r="E40" s="342"/>
      <c r="F40" s="342"/>
      <c r="G40" s="367"/>
      <c r="H40" s="342"/>
      <c r="I40" s="342"/>
      <c r="J40" s="367"/>
      <c r="K40" s="343"/>
    </row>
    <row r="41" spans="1:11" x14ac:dyDescent="0.25">
      <c r="C41" s="2" t="s">
        <v>71</v>
      </c>
      <c r="D41" s="51"/>
      <c r="E41" s="51">
        <v>63000</v>
      </c>
      <c r="F41" s="51">
        <v>43000</v>
      </c>
      <c r="G41" s="370">
        <v>106000</v>
      </c>
      <c r="H41" s="46"/>
      <c r="I41" s="46"/>
    </row>
    <row r="42" spans="1:11" x14ac:dyDescent="0.25">
      <c r="C42" s="2" t="s">
        <v>185</v>
      </c>
      <c r="D42" s="51"/>
      <c r="E42" s="51">
        <f>+E41/4</f>
        <v>15750</v>
      </c>
      <c r="F42" s="51">
        <f t="shared" ref="F42:G42" si="3">+F41/4</f>
        <v>10750</v>
      </c>
      <c r="G42" s="370">
        <f t="shared" si="3"/>
        <v>26500</v>
      </c>
      <c r="H42" s="46"/>
      <c r="I42" s="46"/>
    </row>
    <row r="43" spans="1:11" x14ac:dyDescent="0.25">
      <c r="D43" s="46"/>
      <c r="E43" s="46"/>
      <c r="F43" s="46"/>
      <c r="H43" s="46"/>
      <c r="I43" s="46"/>
    </row>
    <row r="44" spans="1:11" s="345" customFormat="1" ht="23.25" x14ac:dyDescent="0.35">
      <c r="C44" s="346" t="s">
        <v>212</v>
      </c>
      <c r="D44" s="347"/>
      <c r="E44" s="347"/>
      <c r="F44" s="347"/>
      <c r="G44" s="369"/>
      <c r="H44" s="347"/>
      <c r="I44" s="347"/>
      <c r="J44" s="369"/>
      <c r="K44" s="346"/>
    </row>
    <row r="45" spans="1:11" x14ac:dyDescent="0.25">
      <c r="C45" s="2" t="s">
        <v>71</v>
      </c>
      <c r="D45" s="2"/>
      <c r="E45" s="2"/>
      <c r="F45" s="2">
        <v>62003</v>
      </c>
      <c r="G45" s="370">
        <f>+F45</f>
        <v>62003</v>
      </c>
    </row>
    <row r="46" spans="1:11" x14ac:dyDescent="0.25">
      <c r="C46" s="2" t="s">
        <v>185</v>
      </c>
      <c r="D46" s="2"/>
      <c r="E46" s="2"/>
      <c r="F46" s="2">
        <f>+F45/4</f>
        <v>15500.75</v>
      </c>
      <c r="G46" s="370">
        <f>+G45/4</f>
        <v>15500.75</v>
      </c>
    </row>
    <row r="51" spans="1:11" ht="15.75" thickBot="1" x14ac:dyDescent="0.3"/>
    <row r="52" spans="1:11" x14ac:dyDescent="0.25">
      <c r="E52" s="382"/>
      <c r="F52" s="383" t="s">
        <v>0</v>
      </c>
      <c r="G52" s="384"/>
      <c r="H52" s="382"/>
      <c r="I52" s="383" t="s">
        <v>1</v>
      </c>
      <c r="J52" s="384"/>
    </row>
    <row r="53" spans="1:11" x14ac:dyDescent="0.25">
      <c r="C53" s="1" t="s">
        <v>187</v>
      </c>
      <c r="E53" s="2" t="s">
        <v>176</v>
      </c>
      <c r="F53" s="2" t="s">
        <v>177</v>
      </c>
      <c r="G53" s="370" t="s">
        <v>33</v>
      </c>
      <c r="H53" s="2" t="s">
        <v>176</v>
      </c>
      <c r="I53" s="2" t="s">
        <v>177</v>
      </c>
      <c r="J53" s="370" t="s">
        <v>33</v>
      </c>
    </row>
    <row r="54" spans="1:11" x14ac:dyDescent="0.25">
      <c r="E54" s="80"/>
      <c r="F54" s="80"/>
      <c r="G54" s="385"/>
      <c r="H54" s="80"/>
      <c r="I54" s="80"/>
      <c r="J54" s="385"/>
    </row>
    <row r="55" spans="1:11" x14ac:dyDescent="0.25">
      <c r="C55" s="2" t="s">
        <v>1</v>
      </c>
      <c r="D55" s="2" t="s">
        <v>0</v>
      </c>
    </row>
    <row r="56" spans="1:11" x14ac:dyDescent="0.25">
      <c r="B56" s="328" t="s">
        <v>188</v>
      </c>
      <c r="C56" s="2">
        <v>20</v>
      </c>
      <c r="D56" s="2">
        <f>+FSTOCKS!J10</f>
        <v>1.1599999999999999</v>
      </c>
      <c r="E56" s="2">
        <f>C56*D56</f>
        <v>23.2</v>
      </c>
      <c r="F56" s="2"/>
      <c r="G56" s="370">
        <f>F56+E56</f>
        <v>23.2</v>
      </c>
      <c r="H56" s="2">
        <f>+E56</f>
        <v>23.2</v>
      </c>
      <c r="I56" s="2"/>
      <c r="J56" s="370">
        <f>+H56</f>
        <v>23.2</v>
      </c>
    </row>
    <row r="57" spans="1:11" x14ac:dyDescent="0.25">
      <c r="B57" s="328" t="s">
        <v>189</v>
      </c>
      <c r="C57" s="2">
        <v>5</v>
      </c>
      <c r="D57" s="2">
        <v>2.488</v>
      </c>
      <c r="E57" s="2">
        <f>+D57*C57</f>
        <v>12.44</v>
      </c>
      <c r="F57" s="2"/>
      <c r="G57" s="370">
        <f t="shared" ref="G57:G60" si="4">F57+E57</f>
        <v>12.44</v>
      </c>
      <c r="H57" s="2"/>
      <c r="I57" s="2"/>
      <c r="J57" s="370"/>
    </row>
    <row r="58" spans="1:11" x14ac:dyDescent="0.25">
      <c r="B58" s="328" t="s">
        <v>189</v>
      </c>
      <c r="C58" s="2">
        <v>7</v>
      </c>
      <c r="D58" s="2">
        <f>D57</f>
        <v>2.488</v>
      </c>
      <c r="E58" s="2"/>
      <c r="F58" s="2"/>
      <c r="G58" s="370"/>
      <c r="H58" s="2">
        <f>D58*C58</f>
        <v>17.416</v>
      </c>
      <c r="I58" s="2"/>
      <c r="J58" s="370">
        <f t="shared" ref="J58:J61" si="5">+H58</f>
        <v>17.416</v>
      </c>
    </row>
    <row r="59" spans="1:11" x14ac:dyDescent="0.25">
      <c r="B59" s="328"/>
      <c r="C59" s="2"/>
      <c r="D59" s="2"/>
      <c r="E59" s="2"/>
      <c r="F59" s="2"/>
      <c r="G59" s="370"/>
      <c r="H59" s="2"/>
      <c r="I59" s="2"/>
      <c r="J59" s="370"/>
    </row>
    <row r="60" spans="1:11" x14ac:dyDescent="0.25">
      <c r="B60" s="328" t="s">
        <v>179</v>
      </c>
      <c r="C60" s="2">
        <v>12.5</v>
      </c>
      <c r="D60" s="2">
        <v>20</v>
      </c>
      <c r="E60" s="2">
        <f>C60*D60</f>
        <v>250</v>
      </c>
      <c r="F60" s="2"/>
      <c r="G60" s="370">
        <f t="shared" si="4"/>
        <v>250</v>
      </c>
      <c r="H60" s="2"/>
      <c r="I60" s="2"/>
      <c r="J60" s="370"/>
    </row>
    <row r="61" spans="1:11" x14ac:dyDescent="0.25">
      <c r="B61" s="328" t="s">
        <v>190</v>
      </c>
      <c r="C61" s="2">
        <v>20</v>
      </c>
      <c r="D61" s="2">
        <v>20</v>
      </c>
      <c r="E61" s="2"/>
      <c r="F61" s="2"/>
      <c r="G61" s="370"/>
      <c r="H61" s="2">
        <f>C61*D61</f>
        <v>400</v>
      </c>
      <c r="I61" s="2"/>
      <c r="J61" s="370">
        <f t="shared" si="5"/>
        <v>400</v>
      </c>
    </row>
    <row r="62" spans="1:11" ht="15.75" thickBot="1" x14ac:dyDescent="0.3">
      <c r="B62" s="353"/>
      <c r="C62" s="222"/>
      <c r="D62" s="222"/>
      <c r="E62" s="222"/>
      <c r="F62" s="222"/>
      <c r="G62" s="371"/>
      <c r="H62" s="222"/>
      <c r="I62" s="222"/>
      <c r="J62" s="371"/>
    </row>
    <row r="63" spans="1:11" s="361" customFormat="1" ht="19.5" thickBot="1" x14ac:dyDescent="0.35">
      <c r="A63" s="357"/>
      <c r="B63" s="358" t="s">
        <v>191</v>
      </c>
      <c r="C63" s="359"/>
      <c r="D63" s="359"/>
      <c r="E63" s="359">
        <f>G63</f>
        <v>285.64</v>
      </c>
      <c r="F63" s="359"/>
      <c r="G63" s="372">
        <f>SUM(G56:G62)</f>
        <v>285.64</v>
      </c>
      <c r="H63" s="359">
        <f>J63</f>
        <v>440.61599999999999</v>
      </c>
      <c r="I63" s="359"/>
      <c r="J63" s="372">
        <f>SUM(J56:J62)</f>
        <v>440.61599999999999</v>
      </c>
      <c r="K63" s="360"/>
    </row>
    <row r="64" spans="1:11" ht="6.75" customHeight="1" x14ac:dyDescent="0.25"/>
    <row r="65" spans="1:11" x14ac:dyDescent="0.25">
      <c r="C65" s="1" t="s">
        <v>192</v>
      </c>
    </row>
    <row r="66" spans="1:11" ht="6" customHeight="1" x14ac:dyDescent="0.25"/>
    <row r="67" spans="1:11" x14ac:dyDescent="0.25">
      <c r="B67" s="328" t="s">
        <v>193</v>
      </c>
      <c r="C67" s="1">
        <v>12.5</v>
      </c>
      <c r="D67" s="2">
        <f>(0.8825+1.7074)</f>
        <v>2.5899000000000001</v>
      </c>
      <c r="E67" s="2">
        <f>C67*0.8825</f>
        <v>11.03125</v>
      </c>
      <c r="F67" s="2">
        <f>C67*1.7074</f>
        <v>21.342500000000001</v>
      </c>
      <c r="G67" s="370">
        <f>D67*C67</f>
        <v>32.373750000000001</v>
      </c>
      <c r="H67" s="2"/>
      <c r="I67" s="2"/>
      <c r="J67" s="370"/>
    </row>
    <row r="68" spans="1:11" ht="15.75" thickBot="1" x14ac:dyDescent="0.3">
      <c r="B68" s="353" t="s">
        <v>193</v>
      </c>
      <c r="C68" s="1">
        <v>20</v>
      </c>
      <c r="D68" s="222">
        <f>D67</f>
        <v>2.5899000000000001</v>
      </c>
      <c r="E68" s="222"/>
      <c r="F68" s="222"/>
      <c r="G68" s="371"/>
      <c r="H68" s="222">
        <f>+C68*0.8825</f>
        <v>17.649999999999999</v>
      </c>
      <c r="I68" s="222">
        <f>C68*1.7074</f>
        <v>34.148000000000003</v>
      </c>
      <c r="J68" s="371">
        <f>D68*C68</f>
        <v>51.798000000000002</v>
      </c>
    </row>
    <row r="69" spans="1:11" s="366" customFormat="1" ht="15.75" thickBot="1" x14ac:dyDescent="0.3">
      <c r="A69" s="362"/>
      <c r="B69" s="363" t="s">
        <v>194</v>
      </c>
      <c r="C69" s="388" t="s">
        <v>215</v>
      </c>
      <c r="D69" s="365"/>
      <c r="E69" s="365"/>
      <c r="F69" s="365"/>
      <c r="G69" s="377">
        <f>G67+G63</f>
        <v>318.01374999999996</v>
      </c>
      <c r="H69" s="365"/>
      <c r="I69" s="365"/>
      <c r="J69" s="373"/>
      <c r="K69" s="364"/>
    </row>
    <row r="71" spans="1:11" ht="3.75" customHeight="1" x14ac:dyDescent="0.25"/>
    <row r="72" spans="1:11" s="4" customFormat="1" x14ac:dyDescent="0.25">
      <c r="B72" s="6" t="s">
        <v>195</v>
      </c>
      <c r="C72" s="6">
        <v>0.113</v>
      </c>
      <c r="D72" s="386">
        <f>+G69</f>
        <v>318.01374999999996</v>
      </c>
      <c r="E72" s="6"/>
      <c r="F72" s="6"/>
      <c r="G72" s="378">
        <f>G69*C72</f>
        <v>35.935553749999997</v>
      </c>
      <c r="H72" s="6"/>
      <c r="I72" s="6"/>
      <c r="J72" s="378"/>
      <c r="K72" s="5"/>
    </row>
    <row r="73" spans="1:11" x14ac:dyDescent="0.25">
      <c r="B73" s="2" t="s">
        <v>183</v>
      </c>
      <c r="C73" s="2">
        <f>C72</f>
        <v>0.113</v>
      </c>
      <c r="D73" s="370">
        <f>J68</f>
        <v>51.798000000000002</v>
      </c>
      <c r="E73" s="2"/>
      <c r="F73" s="2"/>
      <c r="G73" s="370"/>
      <c r="H73" s="2"/>
      <c r="I73" s="2"/>
      <c r="J73" s="370">
        <f>D73*C73</f>
        <v>5.8531740000000001</v>
      </c>
    </row>
    <row r="74" spans="1:11" ht="7.5" customHeight="1" thickBot="1" x14ac:dyDescent="0.3"/>
    <row r="75" spans="1:11" s="356" customFormat="1" ht="15.75" thickBot="1" x14ac:dyDescent="0.3">
      <c r="A75" s="354"/>
      <c r="C75" s="355" t="s">
        <v>196</v>
      </c>
      <c r="D75" s="355"/>
      <c r="E75" s="355"/>
      <c r="F75" s="355"/>
      <c r="G75" s="387">
        <f>G72+G69</f>
        <v>353.94930374999996</v>
      </c>
      <c r="H75" s="355"/>
      <c r="I75" s="355"/>
      <c r="J75" s="387">
        <f>J73+J68+J63</f>
        <v>498.26717400000001</v>
      </c>
      <c r="K75" s="355"/>
    </row>
    <row r="76" spans="1:11" ht="15.75" thickBot="1" x14ac:dyDescent="0.3"/>
    <row r="77" spans="1:11" s="380" customFormat="1" ht="15.75" thickBot="1" x14ac:dyDescent="0.3">
      <c r="A77" s="379"/>
      <c r="C77" s="329" t="s">
        <v>216</v>
      </c>
      <c r="D77" s="329"/>
      <c r="E77" s="329"/>
      <c r="F77" s="329"/>
      <c r="G77" s="381">
        <v>440</v>
      </c>
      <c r="H77" s="329"/>
      <c r="I77" s="329"/>
      <c r="J77" s="381"/>
      <c r="K77" s="329"/>
    </row>
    <row r="78" spans="1:11" ht="15.75" thickBot="1" x14ac:dyDescent="0.3"/>
    <row r="79" spans="1:11" s="380" customFormat="1" ht="15.75" thickBot="1" x14ac:dyDescent="0.3">
      <c r="A79" s="379"/>
      <c r="C79" s="329" t="s">
        <v>217</v>
      </c>
      <c r="D79" s="329"/>
      <c r="E79" s="329"/>
      <c r="F79" s="329"/>
      <c r="G79" s="381">
        <f>+G77-G75</f>
        <v>86.050696250000044</v>
      </c>
      <c r="H79" s="329"/>
      <c r="I79" s="329"/>
      <c r="J79" s="381"/>
      <c r="K79" s="3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opLeftCell="A16" workbookViewId="0">
      <selection activeCell="H27" sqref="H27"/>
    </sheetView>
  </sheetViews>
  <sheetFormatPr baseColWidth="10" defaultRowHeight="15" x14ac:dyDescent="0.25"/>
  <cols>
    <col min="4" max="4" width="11.42578125" style="1"/>
    <col min="5" max="5" width="20.28515625" style="224" customWidth="1"/>
    <col min="6" max="6" width="11.42578125" style="46"/>
    <col min="7" max="7" width="12.7109375" style="46" bestFit="1" customWidth="1"/>
    <col min="8" max="8" width="14.140625" style="46" bestFit="1" customWidth="1"/>
    <col min="9" max="9" width="12.7109375" style="46" bestFit="1" customWidth="1"/>
    <col min="10" max="10" width="12.7109375" style="86" bestFit="1" customWidth="1"/>
    <col min="11" max="11" width="11.42578125" style="46"/>
    <col min="12" max="12" width="11.42578125" style="1"/>
  </cols>
  <sheetData>
    <row r="2" spans="1:12" s="271" customFormat="1" x14ac:dyDescent="0.25">
      <c r="A2" s="270"/>
      <c r="D2" s="272"/>
      <c r="E2" s="273"/>
      <c r="F2" s="235"/>
      <c r="G2" s="235"/>
      <c r="H2" s="235"/>
      <c r="I2" s="235"/>
      <c r="J2" s="274"/>
      <c r="K2" s="235"/>
      <c r="L2" s="272"/>
    </row>
    <row r="3" spans="1:12" s="276" customFormat="1" x14ac:dyDescent="0.25">
      <c r="A3" s="275"/>
      <c r="D3" s="221"/>
      <c r="E3" s="226"/>
      <c r="F3" s="277" t="s">
        <v>5</v>
      </c>
      <c r="G3" s="277" t="s">
        <v>121</v>
      </c>
      <c r="H3" s="277" t="s">
        <v>60</v>
      </c>
      <c r="I3" s="277" t="s">
        <v>79</v>
      </c>
      <c r="J3" s="278" t="s">
        <v>131</v>
      </c>
      <c r="K3" s="277"/>
      <c r="L3" s="221"/>
    </row>
    <row r="5" spans="1:12" x14ac:dyDescent="0.25">
      <c r="E5" s="224" t="s">
        <v>127</v>
      </c>
      <c r="F5" s="46">
        <v>216400</v>
      </c>
    </row>
    <row r="7" spans="1:12" s="70" customFormat="1" x14ac:dyDescent="0.25">
      <c r="A7" s="69"/>
      <c r="D7" s="78"/>
      <c r="E7" s="222"/>
      <c r="F7" s="56"/>
      <c r="G7" s="56"/>
      <c r="H7" s="56"/>
      <c r="I7" s="56"/>
      <c r="J7" s="84"/>
      <c r="K7" s="56"/>
      <c r="L7" s="78"/>
    </row>
    <row r="8" spans="1:12" s="72" customFormat="1" x14ac:dyDescent="0.25">
      <c r="A8" s="279"/>
      <c r="D8" s="83"/>
      <c r="E8" s="280" t="s">
        <v>128</v>
      </c>
      <c r="F8" s="88"/>
      <c r="G8" s="88"/>
      <c r="H8" s="88"/>
      <c r="I8" s="88"/>
      <c r="J8" s="87"/>
      <c r="K8" s="88"/>
      <c r="L8" s="83"/>
    </row>
    <row r="9" spans="1:12" s="74" customFormat="1" x14ac:dyDescent="0.25">
      <c r="A9" s="73"/>
      <c r="D9" s="80"/>
      <c r="E9" s="224"/>
      <c r="F9" s="59"/>
      <c r="G9" s="59"/>
      <c r="H9" s="59"/>
      <c r="I9" s="59"/>
      <c r="J9" s="86"/>
      <c r="K9" s="59"/>
      <c r="L9" s="80"/>
    </row>
    <row r="10" spans="1:12" s="74" customFormat="1" x14ac:dyDescent="0.25">
      <c r="A10" s="73"/>
      <c r="D10" s="80"/>
      <c r="E10" s="224" t="s">
        <v>129</v>
      </c>
      <c r="F10" s="59">
        <v>309000</v>
      </c>
      <c r="G10" s="59"/>
      <c r="H10" s="59"/>
      <c r="I10" s="59"/>
      <c r="J10" s="86"/>
      <c r="K10" s="59"/>
      <c r="L10" s="80"/>
    </row>
    <row r="11" spans="1:12" s="74" customFormat="1" x14ac:dyDescent="0.25">
      <c r="A11" s="73"/>
      <c r="D11" s="80"/>
      <c r="E11" s="224"/>
      <c r="F11" s="59"/>
      <c r="G11" s="59"/>
      <c r="H11" s="59"/>
      <c r="I11" s="59"/>
      <c r="J11" s="86"/>
      <c r="K11" s="59"/>
      <c r="L11" s="80"/>
    </row>
    <row r="12" spans="1:12" s="74" customFormat="1" x14ac:dyDescent="0.25">
      <c r="A12" s="73"/>
      <c r="D12" s="80"/>
      <c r="E12" s="224" t="s">
        <v>130</v>
      </c>
      <c r="F12" s="59"/>
      <c r="G12" s="59">
        <f>+bud_comm!O14</f>
        <v>602000</v>
      </c>
      <c r="H12" s="59">
        <f>+bud_comm!O17</f>
        <v>1410800</v>
      </c>
      <c r="I12" s="59">
        <f>+bud_comm!O20</f>
        <v>529600</v>
      </c>
      <c r="J12" s="86">
        <f>+bud_comm!O23</f>
        <v>748800</v>
      </c>
      <c r="K12" s="59"/>
      <c r="L12" s="80"/>
    </row>
    <row r="13" spans="1:12" s="74" customFormat="1" x14ac:dyDescent="0.25">
      <c r="A13" s="73"/>
      <c r="D13" s="80"/>
      <c r="E13" s="224"/>
      <c r="F13" s="59"/>
      <c r="G13" s="59"/>
      <c r="H13" s="59"/>
      <c r="I13" s="59"/>
      <c r="J13" s="86"/>
      <c r="K13" s="59"/>
      <c r="L13" s="80"/>
    </row>
    <row r="14" spans="1:12" s="74" customFormat="1" x14ac:dyDescent="0.25">
      <c r="A14" s="73"/>
      <c r="D14" s="80"/>
      <c r="E14" s="224" t="s">
        <v>132</v>
      </c>
      <c r="F14" s="59"/>
      <c r="G14" s="59"/>
      <c r="H14" s="59"/>
      <c r="I14" s="59">
        <v>30000</v>
      </c>
      <c r="J14" s="86"/>
      <c r="K14" s="59"/>
      <c r="L14" s="80"/>
    </row>
    <row r="15" spans="1:12" s="75" customFormat="1" x14ac:dyDescent="0.25">
      <c r="A15" s="68"/>
      <c r="D15" s="82"/>
      <c r="E15" s="223"/>
      <c r="F15" s="62"/>
      <c r="G15" s="62"/>
      <c r="H15" s="62"/>
      <c r="I15" s="62"/>
      <c r="J15" s="89"/>
      <c r="K15" s="62"/>
      <c r="L15" s="82"/>
    </row>
    <row r="16" spans="1:12" s="293" customFormat="1" x14ac:dyDescent="0.25">
      <c r="A16" s="292"/>
      <c r="D16" s="294"/>
      <c r="E16" s="295" t="s">
        <v>133</v>
      </c>
      <c r="F16" s="296">
        <f>+F10</f>
        <v>309000</v>
      </c>
      <c r="G16" s="296">
        <f>SUM(G10:G14)</f>
        <v>602000</v>
      </c>
      <c r="H16" s="296">
        <f t="shared" ref="H16:I16" si="0">SUM(H10:H14)</f>
        <v>1410800</v>
      </c>
      <c r="I16" s="296">
        <f t="shared" si="0"/>
        <v>559600</v>
      </c>
      <c r="J16" s="296"/>
      <c r="K16" s="296"/>
      <c r="L16" s="294"/>
    </row>
    <row r="17" spans="1:12" s="282" customFormat="1" x14ac:dyDescent="0.25">
      <c r="A17" s="281"/>
      <c r="D17" s="283"/>
      <c r="E17" s="284"/>
      <c r="F17" s="285"/>
      <c r="G17" s="285"/>
      <c r="H17" s="285"/>
      <c r="I17" s="285"/>
      <c r="J17" s="191"/>
      <c r="K17" s="285"/>
      <c r="L17" s="283"/>
    </row>
    <row r="19" spans="1:12" x14ac:dyDescent="0.25">
      <c r="E19" s="280" t="s">
        <v>134</v>
      </c>
    </row>
    <row r="21" spans="1:12" x14ac:dyDescent="0.25">
      <c r="E21" s="224" t="s">
        <v>135</v>
      </c>
      <c r="G21" s="46">
        <v>5400</v>
      </c>
    </row>
    <row r="23" spans="1:12" x14ac:dyDescent="0.25">
      <c r="E23" s="224" t="s">
        <v>136</v>
      </c>
      <c r="G23" s="46">
        <v>5000</v>
      </c>
    </row>
    <row r="25" spans="1:12" x14ac:dyDescent="0.25">
      <c r="E25" s="224" t="s">
        <v>137</v>
      </c>
      <c r="F25" s="46">
        <v>42900</v>
      </c>
    </row>
    <row r="27" spans="1:12" x14ac:dyDescent="0.25">
      <c r="E27" s="224" t="s">
        <v>138</v>
      </c>
      <c r="G27" s="46">
        <v>40000</v>
      </c>
    </row>
    <row r="29" spans="1:12" x14ac:dyDescent="0.25">
      <c r="E29" s="224" t="s">
        <v>139</v>
      </c>
      <c r="F29" s="46">
        <v>27720</v>
      </c>
    </row>
    <row r="31" spans="1:12" x14ac:dyDescent="0.25">
      <c r="E31" s="224" t="s">
        <v>140</v>
      </c>
      <c r="H31" s="46">
        <v>12750</v>
      </c>
    </row>
    <row r="33" spans="1:15" s="54" customFormat="1" ht="18.75" x14ac:dyDescent="0.3">
      <c r="D33" s="22"/>
      <c r="E33" s="302" t="s">
        <v>141</v>
      </c>
      <c r="F33" s="241"/>
      <c r="G33" s="241">
        <f>BUDG_ACHATS!O48</f>
        <v>44056</v>
      </c>
      <c r="H33" s="241">
        <f>BUDG_ACHATS!O69</f>
        <v>108596</v>
      </c>
      <c r="I33" s="241">
        <f>BUDG_ACHATS!O85</f>
        <v>23280</v>
      </c>
      <c r="J33" s="180">
        <f>BUDG_ACHATS!O94</f>
        <v>97392</v>
      </c>
      <c r="K33" s="241"/>
      <c r="L33" s="22"/>
      <c r="O33" s="54" t="s">
        <v>150</v>
      </c>
    </row>
    <row r="35" spans="1:15" x14ac:dyDescent="0.25">
      <c r="E35" s="224" t="s">
        <v>142</v>
      </c>
      <c r="F35" s="46">
        <v>754900</v>
      </c>
      <c r="G35" s="46">
        <f>+F35</f>
        <v>754900</v>
      </c>
      <c r="H35" s="46">
        <f>+G35</f>
        <v>754900</v>
      </c>
      <c r="I35" s="46">
        <f>+H35</f>
        <v>754900</v>
      </c>
    </row>
    <row r="37" spans="1:15" x14ac:dyDescent="0.25">
      <c r="E37" s="224" t="s">
        <v>143</v>
      </c>
      <c r="F37" s="46">
        <v>16456</v>
      </c>
      <c r="G37" s="46">
        <f>+F37</f>
        <v>16456</v>
      </c>
      <c r="H37" s="46">
        <f>+G37</f>
        <v>16456</v>
      </c>
      <c r="I37" s="46">
        <f>+H37</f>
        <v>16456</v>
      </c>
    </row>
    <row r="39" spans="1:15" x14ac:dyDescent="0.25">
      <c r="E39" s="224" t="s">
        <v>144</v>
      </c>
      <c r="F39" s="46">
        <v>26500</v>
      </c>
      <c r="G39" s="46">
        <f>+F39</f>
        <v>26500</v>
      </c>
      <c r="H39" s="46">
        <f>+G39</f>
        <v>26500</v>
      </c>
      <c r="I39" s="46">
        <f>+H39</f>
        <v>26500</v>
      </c>
    </row>
    <row r="41" spans="1:15" x14ac:dyDescent="0.25">
      <c r="E41" s="224" t="s">
        <v>145</v>
      </c>
      <c r="F41" s="46">
        <v>15501</v>
      </c>
      <c r="G41" s="46">
        <f>+F41</f>
        <v>15501</v>
      </c>
      <c r="H41" s="46">
        <f>+G41</f>
        <v>15501</v>
      </c>
      <c r="I41" s="46">
        <f>+H41</f>
        <v>15501</v>
      </c>
    </row>
    <row r="43" spans="1:15" s="298" customFormat="1" x14ac:dyDescent="0.25">
      <c r="A43" s="297"/>
      <c r="D43" s="299"/>
      <c r="E43" s="300" t="s">
        <v>146</v>
      </c>
      <c r="F43" s="301">
        <f>SUM(F21:F41)</f>
        <v>883977</v>
      </c>
      <c r="G43" s="301">
        <f t="shared" ref="G43:I43" si="1">SUM(G21:G41)</f>
        <v>907813</v>
      </c>
      <c r="H43" s="301">
        <f t="shared" si="1"/>
        <v>934703</v>
      </c>
      <c r="I43" s="301">
        <f t="shared" si="1"/>
        <v>836637</v>
      </c>
      <c r="J43" s="236"/>
      <c r="K43" s="301"/>
      <c r="L43" s="299"/>
    </row>
    <row r="44" spans="1:15" s="287" customFormat="1" x14ac:dyDescent="0.25">
      <c r="A44" s="286"/>
      <c r="D44" s="288"/>
      <c r="E44" s="289"/>
      <c r="F44" s="290"/>
      <c r="G44" s="290"/>
      <c r="H44" s="290"/>
      <c r="I44" s="290"/>
      <c r="J44" s="195"/>
      <c r="K44" s="290"/>
      <c r="L44" s="288"/>
    </row>
    <row r="45" spans="1:15" s="271" customFormat="1" x14ac:dyDescent="0.25">
      <c r="A45" s="270"/>
      <c r="D45" s="272"/>
      <c r="E45" s="273"/>
      <c r="F45" s="235"/>
      <c r="G45" s="235"/>
      <c r="H45" s="235"/>
      <c r="I45" s="235"/>
      <c r="J45" s="274"/>
      <c r="K45" s="235"/>
      <c r="L45" s="272"/>
    </row>
    <row r="46" spans="1:15" s="72" customFormat="1" x14ac:dyDescent="0.25">
      <c r="A46" s="279"/>
      <c r="D46" s="83"/>
      <c r="E46" s="227" t="s">
        <v>149</v>
      </c>
      <c r="F46" s="88">
        <f>+F5+F16-F43</f>
        <v>-358577</v>
      </c>
      <c r="G46" s="88">
        <f t="shared" ref="G46:I46" si="2">+G5+G16-G43</f>
        <v>-305813</v>
      </c>
      <c r="H46" s="88">
        <f t="shared" si="2"/>
        <v>476097</v>
      </c>
      <c r="I46" s="88">
        <f t="shared" si="2"/>
        <v>-277037</v>
      </c>
      <c r="J46" s="87"/>
      <c r="K46" s="88"/>
      <c r="L46" s="83"/>
    </row>
    <row r="47" spans="1:15" s="276" customFormat="1" x14ac:dyDescent="0.25">
      <c r="A47" s="275"/>
      <c r="D47" s="221"/>
      <c r="E47" s="226"/>
      <c r="F47" s="277"/>
      <c r="G47" s="277"/>
      <c r="H47" s="277"/>
      <c r="I47" s="277"/>
      <c r="J47" s="278"/>
      <c r="K47" s="277"/>
      <c r="L47" s="221"/>
    </row>
    <row r="49" spans="8:8" x14ac:dyDescent="0.25">
      <c r="H49" s="46">
        <v>481507</v>
      </c>
    </row>
    <row r="51" spans="8:8" x14ac:dyDescent="0.25">
      <c r="H51" s="46">
        <f>+H49-H46</f>
        <v>5410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bud_comm</vt:lpstr>
      <vt:lpstr>pr_prod</vt:lpstr>
      <vt:lpstr>pr_appro</vt:lpstr>
      <vt:lpstr>BUDG_ACHATS</vt:lpstr>
      <vt:lpstr>FSTOCKS</vt:lpstr>
      <vt:lpstr>COUT_prod</vt:lpstr>
      <vt:lpstr>budget_treso</vt:lpstr>
      <vt:lpstr>cr</vt:lpstr>
      <vt:lpstr>bilan</vt:lpstr>
      <vt:lpstr>Feuil1</vt:lpstr>
    </vt:vector>
  </TitlesOfParts>
  <Company>Université Paris Ouest Nanterre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2017-02-07T16:35:57Z</dcterms:created>
  <dcterms:modified xsi:type="dcterms:W3CDTF">2017-03-06T12:33:09Z</dcterms:modified>
</cp:coreProperties>
</file>