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CK ETUDIANT\Documents\"/>
    </mc:Choice>
  </mc:AlternateContent>
  <bookViews>
    <workbookView xWindow="0" yWindow="0" windowWidth="14370" windowHeight="7530" activeTab="2"/>
  </bookViews>
  <sheets>
    <sheet name="calcul" sheetId="1" r:id="rId1"/>
    <sheet name="niveau" sheetId="2" r:id="rId2"/>
    <sheet name="roadbook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W6" i="2" s="1"/>
  <c r="AD9" i="2"/>
  <c r="AD10" i="2" s="1"/>
  <c r="AE7" i="2"/>
  <c r="AE8" i="2"/>
  <c r="AE9" i="2"/>
  <c r="AE6" i="2"/>
  <c r="AE10" i="2" l="1"/>
  <c r="AD11" i="2"/>
  <c r="C28" i="3"/>
  <c r="D28" i="3"/>
  <c r="B28" i="3"/>
  <c r="W9" i="2"/>
  <c r="AD12" i="2" l="1"/>
  <c r="AE11" i="2"/>
  <c r="W7" i="2"/>
  <c r="W8" i="2"/>
  <c r="W15" i="2"/>
  <c r="W13" i="2"/>
  <c r="W12" i="2"/>
  <c r="W11" i="2"/>
  <c r="W10" i="2"/>
  <c r="W14" i="2"/>
  <c r="X6" i="2"/>
  <c r="X9" i="2"/>
  <c r="X8" i="2" s="1"/>
  <c r="X7" i="2" s="1"/>
  <c r="AE12" i="2" l="1"/>
  <c r="AD13" i="2"/>
  <c r="X15" i="2"/>
  <c r="X14" i="2" s="1"/>
  <c r="X13" i="2" s="1"/>
  <c r="X12" i="2"/>
  <c r="X11" i="2" s="1"/>
  <c r="X10" i="2" s="1"/>
  <c r="C14" i="2"/>
  <c r="K6" i="2"/>
  <c r="AB6" i="2" s="1"/>
  <c r="K7" i="2"/>
  <c r="K8" i="2"/>
  <c r="K9" i="2"/>
  <c r="K10" i="2"/>
  <c r="K11" i="2"/>
  <c r="K12" i="2"/>
  <c r="K13" i="2"/>
  <c r="K14" i="2"/>
  <c r="K15" i="2"/>
  <c r="AD14" i="2" l="1"/>
  <c r="AE13" i="2"/>
  <c r="AB7" i="2"/>
  <c r="AA6" i="2"/>
  <c r="AC6" i="2" s="1"/>
  <c r="K17" i="2"/>
  <c r="J58" i="1"/>
  <c r="J61" i="1" s="1"/>
  <c r="B39" i="1"/>
  <c r="C39" i="1"/>
  <c r="D39" i="1"/>
  <c r="E39" i="1"/>
  <c r="F39" i="1"/>
  <c r="G39" i="1"/>
  <c r="H39" i="1"/>
  <c r="I39" i="1"/>
  <c r="B40" i="1"/>
  <c r="C40" i="1"/>
  <c r="D40" i="1"/>
  <c r="E40" i="1"/>
  <c r="F40" i="1"/>
  <c r="G40" i="1"/>
  <c r="H40" i="1"/>
  <c r="I40" i="1"/>
  <c r="B41" i="1"/>
  <c r="C41" i="1"/>
  <c r="D41" i="1"/>
  <c r="E41" i="1"/>
  <c r="F41" i="1"/>
  <c r="G41" i="1"/>
  <c r="H41" i="1"/>
  <c r="I41" i="1"/>
  <c r="B42" i="1"/>
  <c r="C42" i="1"/>
  <c r="D42" i="1"/>
  <c r="E42" i="1"/>
  <c r="F42" i="1"/>
  <c r="G42" i="1"/>
  <c r="H42" i="1"/>
  <c r="I42" i="1"/>
  <c r="B43" i="1"/>
  <c r="C43" i="1"/>
  <c r="D43" i="1"/>
  <c r="E43" i="1"/>
  <c r="F43" i="1"/>
  <c r="G43" i="1"/>
  <c r="H43" i="1"/>
  <c r="I43" i="1"/>
  <c r="B44" i="1"/>
  <c r="C44" i="1"/>
  <c r="D44" i="1"/>
  <c r="E44" i="1"/>
  <c r="F44" i="1"/>
  <c r="G44" i="1"/>
  <c r="H44" i="1"/>
  <c r="I44" i="1"/>
  <c r="B45" i="1"/>
  <c r="C45" i="1"/>
  <c r="D45" i="1"/>
  <c r="E45" i="1"/>
  <c r="F45" i="1"/>
  <c r="G45" i="1"/>
  <c r="H45" i="1"/>
  <c r="I45" i="1"/>
  <c r="B46" i="1"/>
  <c r="C46" i="1"/>
  <c r="D46" i="1"/>
  <c r="E46" i="1"/>
  <c r="F46" i="1"/>
  <c r="G46" i="1"/>
  <c r="H46" i="1"/>
  <c r="I46" i="1"/>
  <c r="B47" i="1"/>
  <c r="C47" i="1"/>
  <c r="D47" i="1"/>
  <c r="E47" i="1"/>
  <c r="F47" i="1"/>
  <c r="G47" i="1"/>
  <c r="H47" i="1"/>
  <c r="I47" i="1"/>
  <c r="B48" i="1"/>
  <c r="C48" i="1"/>
  <c r="D48" i="1"/>
  <c r="E48" i="1"/>
  <c r="F48" i="1"/>
  <c r="G48" i="1"/>
  <c r="H48" i="1"/>
  <c r="I48" i="1"/>
  <c r="B49" i="1"/>
  <c r="C49" i="1"/>
  <c r="D49" i="1"/>
  <c r="E49" i="1"/>
  <c r="F49" i="1"/>
  <c r="G49" i="1"/>
  <c r="H49" i="1"/>
  <c r="I49" i="1"/>
  <c r="B50" i="1"/>
  <c r="C50" i="1"/>
  <c r="D50" i="1"/>
  <c r="E50" i="1"/>
  <c r="F50" i="1"/>
  <c r="G50" i="1"/>
  <c r="H50" i="1"/>
  <c r="I50" i="1"/>
  <c r="B51" i="1"/>
  <c r="C51" i="1"/>
  <c r="D51" i="1"/>
  <c r="E51" i="1"/>
  <c r="F51" i="1"/>
  <c r="G51" i="1"/>
  <c r="H51" i="1"/>
  <c r="I51" i="1"/>
  <c r="B52" i="1"/>
  <c r="C52" i="1"/>
  <c r="D52" i="1"/>
  <c r="E52" i="1"/>
  <c r="F52" i="1"/>
  <c r="G52" i="1"/>
  <c r="H52" i="1"/>
  <c r="I52" i="1"/>
  <c r="B53" i="1"/>
  <c r="C53" i="1"/>
  <c r="D53" i="1"/>
  <c r="E53" i="1"/>
  <c r="F53" i="1"/>
  <c r="G53" i="1"/>
  <c r="H53" i="1"/>
  <c r="I53" i="1"/>
  <c r="B54" i="1"/>
  <c r="C54" i="1"/>
  <c r="D54" i="1"/>
  <c r="E54" i="1"/>
  <c r="F54" i="1"/>
  <c r="G54" i="1"/>
  <c r="H54" i="1"/>
  <c r="I54" i="1"/>
  <c r="B55" i="1"/>
  <c r="C55" i="1"/>
  <c r="D55" i="1"/>
  <c r="E55" i="1"/>
  <c r="F55" i="1"/>
  <c r="G55" i="1"/>
  <c r="H55" i="1"/>
  <c r="I55" i="1"/>
  <c r="B56" i="1"/>
  <c r="C56" i="1"/>
  <c r="D56" i="1"/>
  <c r="E56" i="1"/>
  <c r="F56" i="1"/>
  <c r="G56" i="1"/>
  <c r="H56" i="1"/>
  <c r="I56" i="1"/>
  <c r="K57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K32" i="1"/>
  <c r="AB8" i="2" l="1"/>
  <c r="AA7" i="2"/>
  <c r="AC7" i="2" s="1"/>
  <c r="Y7" i="2" s="1"/>
  <c r="E18" i="3" s="1"/>
  <c r="Y6" i="2"/>
  <c r="E17" i="3" s="1"/>
  <c r="AE14" i="2"/>
  <c r="AD15" i="2"/>
  <c r="L13" i="2"/>
  <c r="L11" i="2"/>
  <c r="L12" i="2"/>
  <c r="L6" i="2"/>
  <c r="L14" i="2"/>
  <c r="L7" i="2"/>
  <c r="L15" i="2"/>
  <c r="L8" i="2"/>
  <c r="L9" i="2"/>
  <c r="L10" i="2"/>
  <c r="K62" i="1"/>
  <c r="K82" i="1"/>
  <c r="K68" i="1"/>
  <c r="E68" i="1" s="1"/>
  <c r="L68" i="1" s="1"/>
  <c r="K72" i="1"/>
  <c r="E72" i="1" s="1"/>
  <c r="L72" i="1" s="1"/>
  <c r="K73" i="1"/>
  <c r="H73" i="1" s="1"/>
  <c r="L73" i="1" s="1"/>
  <c r="K74" i="1"/>
  <c r="H74" i="1" s="1"/>
  <c r="L74" i="1" s="1"/>
  <c r="K75" i="1"/>
  <c r="H75" i="1" s="1"/>
  <c r="L75" i="1" s="1"/>
  <c r="K76" i="1"/>
  <c r="H76" i="1" s="1"/>
  <c r="L76" i="1" s="1"/>
  <c r="K77" i="1"/>
  <c r="H77" i="1" s="1"/>
  <c r="L77" i="1" s="1"/>
  <c r="K78" i="1"/>
  <c r="H78" i="1" s="1"/>
  <c r="L78" i="1" s="1"/>
  <c r="K79" i="1"/>
  <c r="H79" i="1" s="1"/>
  <c r="L79" i="1" s="1"/>
  <c r="K80" i="1"/>
  <c r="H80" i="1" s="1"/>
  <c r="L80" i="1" s="1"/>
  <c r="K81" i="1"/>
  <c r="H81" i="1" s="1"/>
  <c r="L81" i="1" s="1"/>
  <c r="K65" i="1"/>
  <c r="B65" i="1" s="1"/>
  <c r="L65" i="1" s="1"/>
  <c r="K67" i="1"/>
  <c r="B67" i="1" s="1"/>
  <c r="L67" i="1" s="1"/>
  <c r="K71" i="1"/>
  <c r="E71" i="1" s="1"/>
  <c r="L71" i="1" s="1"/>
  <c r="K66" i="1"/>
  <c r="B66" i="1" s="1"/>
  <c r="L66" i="1" s="1"/>
  <c r="K69" i="1"/>
  <c r="E69" i="1" s="1"/>
  <c r="L69" i="1" s="1"/>
  <c r="K70" i="1"/>
  <c r="E70" i="1" s="1"/>
  <c r="L70" i="1" s="1"/>
  <c r="K33" i="1"/>
  <c r="K49" i="1" s="1"/>
  <c r="E58" i="1"/>
  <c r="K61" i="1"/>
  <c r="F58" i="1"/>
  <c r="G58" i="1"/>
  <c r="H58" i="1"/>
  <c r="I58" i="1"/>
  <c r="B58" i="1"/>
  <c r="C58" i="1"/>
  <c r="D58" i="1"/>
  <c r="AE15" i="2" l="1"/>
  <c r="AB9" i="2"/>
  <c r="AA8" i="2"/>
  <c r="AC8" i="2" s="1"/>
  <c r="Y8" i="2" s="1"/>
  <c r="E19" i="3" s="1"/>
  <c r="N68" i="1"/>
  <c r="N69" i="1" s="1"/>
  <c r="N70" i="1" s="1"/>
  <c r="M73" i="1"/>
  <c r="O65" i="1"/>
  <c r="O66" i="1" s="1"/>
  <c r="O67" i="1" s="1"/>
  <c r="O68" i="1" s="1"/>
  <c r="U15" i="2"/>
  <c r="Q15" i="2"/>
  <c r="M15" i="2"/>
  <c r="T15" i="2"/>
  <c r="P15" i="2"/>
  <c r="S15" i="2"/>
  <c r="O15" i="2"/>
  <c r="N15" i="2"/>
  <c r="R15" i="2"/>
  <c r="U7" i="2"/>
  <c r="Q7" i="2"/>
  <c r="M7" i="2"/>
  <c r="T7" i="2"/>
  <c r="P7" i="2"/>
  <c r="S7" i="2"/>
  <c r="O7" i="2"/>
  <c r="N7" i="2"/>
  <c r="R7" i="2"/>
  <c r="U14" i="2"/>
  <c r="Q14" i="2"/>
  <c r="M14" i="2"/>
  <c r="T14" i="2"/>
  <c r="P14" i="2"/>
  <c r="S14" i="2"/>
  <c r="O14" i="2"/>
  <c r="N14" i="2"/>
  <c r="R14" i="2"/>
  <c r="R8" i="2"/>
  <c r="U8" i="2"/>
  <c r="Q8" i="2"/>
  <c r="M8" i="2"/>
  <c r="T8" i="2"/>
  <c r="P8" i="2"/>
  <c r="S8" i="2"/>
  <c r="O8" i="2"/>
  <c r="N8" i="2"/>
  <c r="U6" i="2"/>
  <c r="Q6" i="2"/>
  <c r="M6" i="2"/>
  <c r="T6" i="2"/>
  <c r="P6" i="2"/>
  <c r="S6" i="2"/>
  <c r="O6" i="2"/>
  <c r="R6" i="2"/>
  <c r="N6" i="2"/>
  <c r="T12" i="2"/>
  <c r="P12" i="2"/>
  <c r="S12" i="2"/>
  <c r="O12" i="2"/>
  <c r="N12" i="2"/>
  <c r="R12" i="2"/>
  <c r="U12" i="2"/>
  <c r="Q12" i="2"/>
  <c r="M12" i="2"/>
  <c r="S10" i="2"/>
  <c r="O10" i="2"/>
  <c r="N10" i="2"/>
  <c r="R10" i="2"/>
  <c r="U10" i="2"/>
  <c r="Q10" i="2"/>
  <c r="M10" i="2"/>
  <c r="T10" i="2"/>
  <c r="P10" i="2"/>
  <c r="S11" i="2"/>
  <c r="O11" i="2"/>
  <c r="N11" i="2"/>
  <c r="R11" i="2"/>
  <c r="U11" i="2"/>
  <c r="Q11" i="2"/>
  <c r="M11" i="2"/>
  <c r="T11" i="2"/>
  <c r="P11" i="2"/>
  <c r="N9" i="2"/>
  <c r="R9" i="2"/>
  <c r="U9" i="2"/>
  <c r="Q9" i="2"/>
  <c r="M9" i="2"/>
  <c r="T9" i="2"/>
  <c r="P9" i="2"/>
  <c r="S9" i="2"/>
  <c r="O9" i="2"/>
  <c r="T13" i="2"/>
  <c r="P13" i="2"/>
  <c r="S13" i="2"/>
  <c r="O13" i="2"/>
  <c r="N13" i="2"/>
  <c r="R13" i="2"/>
  <c r="U13" i="2"/>
  <c r="Q13" i="2"/>
  <c r="M13" i="2"/>
  <c r="C19" i="2"/>
  <c r="C65" i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B84" i="1"/>
  <c r="H84" i="1"/>
  <c r="I73" i="1"/>
  <c r="J73" i="1" s="1"/>
  <c r="E84" i="1"/>
  <c r="F68" i="1"/>
  <c r="G68" i="1" s="1"/>
  <c r="K38" i="1"/>
  <c r="K44" i="1"/>
  <c r="K43" i="1"/>
  <c r="K41" i="1"/>
  <c r="K48" i="1"/>
  <c r="K40" i="1"/>
  <c r="K47" i="1"/>
  <c r="K31" i="1"/>
  <c r="K34" i="1"/>
  <c r="K36" i="1"/>
  <c r="K51" i="1"/>
  <c r="K39" i="1"/>
  <c r="K35" i="1"/>
  <c r="K46" i="1"/>
  <c r="K50" i="1"/>
  <c r="K45" i="1"/>
  <c r="K42" i="1"/>
  <c r="K37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9" i="1"/>
  <c r="K4" i="1"/>
  <c r="D32" i="1"/>
  <c r="D31" i="1"/>
  <c r="D30" i="1"/>
  <c r="D29" i="1"/>
  <c r="D33" i="1"/>
  <c r="AB10" i="2" l="1"/>
  <c r="AA9" i="2"/>
  <c r="AC9" i="2" s="1"/>
  <c r="Y9" i="2" s="1"/>
  <c r="E20" i="3" s="1"/>
  <c r="M72" i="1"/>
  <c r="M71" i="1" s="1"/>
  <c r="M70" i="1" s="1"/>
  <c r="M69" i="1" s="1"/>
  <c r="M68" i="1" s="1"/>
  <c r="M67" i="1" s="1"/>
  <c r="M66" i="1" s="1"/>
  <c r="M65" i="1" s="1"/>
  <c r="M74" i="1"/>
  <c r="M75" i="1" s="1"/>
  <c r="M76" i="1" s="1"/>
  <c r="M77" i="1" s="1"/>
  <c r="M78" i="1" s="1"/>
  <c r="M79" i="1" s="1"/>
  <c r="M80" i="1" s="1"/>
  <c r="M81" i="1" s="1"/>
  <c r="M82" i="1" s="1"/>
  <c r="N67" i="1"/>
  <c r="N66" i="1" s="1"/>
  <c r="N65" i="1" s="1"/>
  <c r="N71" i="1"/>
  <c r="N72" i="1" s="1"/>
  <c r="N73" i="1" s="1"/>
  <c r="N74" i="1" s="1"/>
  <c r="O69" i="1"/>
  <c r="O70" i="1" s="1"/>
  <c r="C66" i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I74" i="1"/>
  <c r="I84" i="1"/>
  <c r="F84" i="1"/>
  <c r="C84" i="1"/>
  <c r="F69" i="1"/>
  <c r="K53" i="1"/>
  <c r="K54" i="1" s="1"/>
  <c r="K55" i="1" s="1"/>
  <c r="C16" i="2" s="1"/>
  <c r="J152" i="1"/>
  <c r="J153" i="1" s="1"/>
  <c r="K5" i="1"/>
  <c r="AB11" i="2" l="1"/>
  <c r="AA10" i="2"/>
  <c r="AC10" i="2" s="1"/>
  <c r="Y10" i="2" s="1"/>
  <c r="E21" i="3" s="1"/>
  <c r="V17" i="2"/>
  <c r="V9" i="2" s="1"/>
  <c r="B13" i="3"/>
  <c r="N75" i="1"/>
  <c r="N76" i="1" s="1"/>
  <c r="N77" i="1" s="1"/>
  <c r="N78" i="1" s="1"/>
  <c r="N79" i="1" s="1"/>
  <c r="N80" i="1" s="1"/>
  <c r="N81" i="1" s="1"/>
  <c r="O71" i="1"/>
  <c r="O72" i="1" s="1"/>
  <c r="B87" i="1"/>
  <c r="C87" i="1" s="1"/>
  <c r="B86" i="1"/>
  <c r="C86" i="1" s="1"/>
  <c r="B85" i="1"/>
  <c r="C85" i="1" s="1"/>
  <c r="G69" i="1"/>
  <c r="F70" i="1"/>
  <c r="J74" i="1"/>
  <c r="I75" i="1"/>
  <c r="K56" i="1"/>
  <c r="K8" i="1"/>
  <c r="K10" i="1"/>
  <c r="K12" i="1"/>
  <c r="K14" i="1"/>
  <c r="K16" i="1"/>
  <c r="K18" i="1"/>
  <c r="K20" i="1"/>
  <c r="K22" i="1"/>
  <c r="K6" i="1"/>
  <c r="K7" i="1"/>
  <c r="K9" i="1"/>
  <c r="K11" i="1"/>
  <c r="K13" i="1"/>
  <c r="K15" i="1"/>
  <c r="K17" i="1"/>
  <c r="K19" i="1"/>
  <c r="K21" i="1"/>
  <c r="K23" i="1"/>
  <c r="K3" i="1"/>
  <c r="AB12" i="2" l="1"/>
  <c r="AA11" i="2"/>
  <c r="AC11" i="2" s="1"/>
  <c r="Y11" i="2" s="1"/>
  <c r="E22" i="3" s="1"/>
  <c r="V10" i="2"/>
  <c r="V11" i="2"/>
  <c r="V13" i="2"/>
  <c r="V8" i="2"/>
  <c r="V7" i="2"/>
  <c r="V14" i="2"/>
  <c r="V6" i="2"/>
  <c r="V15" i="2"/>
  <c r="V12" i="2"/>
  <c r="O73" i="1"/>
  <c r="B92" i="1"/>
  <c r="B93" i="1" s="1"/>
  <c r="D87" i="1"/>
  <c r="D86" i="1"/>
  <c r="D85" i="1"/>
  <c r="C92" i="1"/>
  <c r="C93" i="1" s="1"/>
  <c r="J75" i="1"/>
  <c r="I76" i="1"/>
  <c r="H85" i="1" s="1"/>
  <c r="G70" i="1"/>
  <c r="F71" i="1"/>
  <c r="E85" i="1"/>
  <c r="K25" i="1"/>
  <c r="K26" i="1" s="1"/>
  <c r="K27" i="1" s="1"/>
  <c r="AB13" i="2" l="1"/>
  <c r="AA12" i="2"/>
  <c r="AC12" i="2" s="1"/>
  <c r="Y12" i="2" s="1"/>
  <c r="E23" i="3" s="1"/>
  <c r="O74" i="1"/>
  <c r="O75" i="1" s="1"/>
  <c r="O76" i="1" s="1"/>
  <c r="O77" i="1" s="1"/>
  <c r="O78" i="1" s="1"/>
  <c r="O79" i="1" s="1"/>
  <c r="O80" i="1" s="1"/>
  <c r="O81" i="1" s="1"/>
  <c r="D92" i="1"/>
  <c r="D93" i="1" s="1"/>
  <c r="J85" i="1"/>
  <c r="I85" i="1"/>
  <c r="J76" i="1"/>
  <c r="I77" i="1"/>
  <c r="H86" i="1" s="1"/>
  <c r="F85" i="1"/>
  <c r="G85" i="1"/>
  <c r="G71" i="1"/>
  <c r="F72" i="1"/>
  <c r="E86" i="1"/>
  <c r="B59" i="1"/>
  <c r="C59" i="1"/>
  <c r="C60" i="1" s="1"/>
  <c r="D59" i="1"/>
  <c r="D60" i="1" s="1"/>
  <c r="E59" i="1"/>
  <c r="E60" i="1" s="1"/>
  <c r="F59" i="1"/>
  <c r="F60" i="1" s="1"/>
  <c r="G59" i="1"/>
  <c r="G60" i="1" s="1"/>
  <c r="H59" i="1"/>
  <c r="H60" i="1" s="1"/>
  <c r="I59" i="1"/>
  <c r="I60" i="1" s="1"/>
  <c r="AB14" i="2" l="1"/>
  <c r="AA13" i="2"/>
  <c r="AC13" i="2" s="1"/>
  <c r="Y13" i="2" s="1"/>
  <c r="E24" i="3" s="1"/>
  <c r="J86" i="1"/>
  <c r="I86" i="1"/>
  <c r="J77" i="1"/>
  <c r="I78" i="1"/>
  <c r="F86" i="1"/>
  <c r="G86" i="1"/>
  <c r="G72" i="1"/>
  <c r="F73" i="1"/>
  <c r="E87" i="1"/>
  <c r="B60" i="1"/>
  <c r="K60" i="1" s="1"/>
  <c r="C18" i="2" s="1"/>
  <c r="K59" i="1"/>
  <c r="C17" i="2" s="1"/>
  <c r="K28" i="1"/>
  <c r="AB15" i="2" l="1"/>
  <c r="AA15" i="2" s="1"/>
  <c r="AA14" i="2"/>
  <c r="AC14" i="2" s="1"/>
  <c r="Y14" i="2" s="1"/>
  <c r="E25" i="3" s="1"/>
  <c r="J78" i="1"/>
  <c r="I79" i="1"/>
  <c r="H87" i="1"/>
  <c r="F87" i="1"/>
  <c r="G87" i="1"/>
  <c r="F74" i="1"/>
  <c r="G73" i="1"/>
  <c r="E88" i="1"/>
  <c r="K29" i="1"/>
  <c r="AC15" i="2" l="1"/>
  <c r="Y15" i="2" s="1"/>
  <c r="E26" i="3" s="1"/>
  <c r="Y17" i="2" s="1"/>
  <c r="I87" i="1"/>
  <c r="J87" i="1"/>
  <c r="H88" i="1"/>
  <c r="J79" i="1"/>
  <c r="I80" i="1"/>
  <c r="F88" i="1"/>
  <c r="G88" i="1"/>
  <c r="G74" i="1"/>
  <c r="F75" i="1"/>
  <c r="E89" i="1"/>
  <c r="E92" i="1" s="1"/>
  <c r="E93" i="1" s="1"/>
  <c r="E28" i="3" l="1"/>
  <c r="C13" i="3" s="1"/>
  <c r="E13" i="3" s="1"/>
  <c r="H89" i="1"/>
  <c r="J80" i="1"/>
  <c r="I81" i="1"/>
  <c r="I88" i="1"/>
  <c r="J88" i="1"/>
  <c r="F89" i="1"/>
  <c r="F92" i="1" s="1"/>
  <c r="F93" i="1" s="1"/>
  <c r="G89" i="1"/>
  <c r="G92" i="1" s="1"/>
  <c r="G93" i="1" s="1"/>
  <c r="F76" i="1"/>
  <c r="G75" i="1"/>
  <c r="H90" i="1" l="1"/>
  <c r="J81" i="1"/>
  <c r="I82" i="1"/>
  <c r="I89" i="1"/>
  <c r="J89" i="1"/>
  <c r="G76" i="1"/>
  <c r="F77" i="1"/>
  <c r="J82" i="1" l="1"/>
  <c r="H91" i="1"/>
  <c r="H92" i="1" s="1"/>
  <c r="H93" i="1" s="1"/>
  <c r="K93" i="1" s="1"/>
  <c r="C24" i="2" s="1"/>
  <c r="B25" i="2" s="1"/>
  <c r="J90" i="1"/>
  <c r="I90" i="1"/>
  <c r="F78" i="1"/>
  <c r="G77" i="1"/>
  <c r="I91" i="1" l="1"/>
  <c r="I92" i="1" s="1"/>
  <c r="I93" i="1" s="1"/>
  <c r="K94" i="1" s="1"/>
  <c r="C22" i="2" s="1"/>
  <c r="J91" i="1"/>
  <c r="J92" i="1" s="1"/>
  <c r="J93" i="1" s="1"/>
  <c r="K95" i="1" s="1"/>
  <c r="C23" i="2" s="1"/>
  <c r="G78" i="1"/>
  <c r="F79" i="1"/>
  <c r="F80" i="1" l="1"/>
  <c r="G79" i="1"/>
  <c r="G80" i="1" l="1"/>
  <c r="F81" i="1"/>
  <c r="F82" i="1" l="1"/>
  <c r="G82" i="1" s="1"/>
  <c r="G81" i="1"/>
</calcChain>
</file>

<file path=xl/sharedStrings.xml><?xml version="1.0" encoding="utf-8"?>
<sst xmlns="http://schemas.openxmlformats.org/spreadsheetml/2006/main" count="150" uniqueCount="113">
  <si>
    <t>101 à 120</t>
  </si>
  <si>
    <t>120 à 140</t>
  </si>
  <si>
    <t>140 à 160</t>
  </si>
  <si>
    <t>160 à 180</t>
  </si>
  <si>
    <t>180 à 200</t>
  </si>
  <si>
    <t>rodio</t>
  </si>
  <si>
    <t>Nom de la compétition</t>
  </si>
  <si>
    <t>kms total :</t>
  </si>
  <si>
    <t>% sentier</t>
  </si>
  <si>
    <t>% chemin</t>
  </si>
  <si>
    <t>%route</t>
  </si>
  <si>
    <t>Dénivelés positifs</t>
  </si>
  <si>
    <t>Valeur kilodénives</t>
  </si>
  <si>
    <t>VOTRE NIVEAU</t>
  </si>
  <si>
    <t>VOTRE GROUPE</t>
  </si>
  <si>
    <t>*seulement les cases bleus sont à renseigner</t>
  </si>
  <si>
    <t>DATE</t>
  </si>
  <si>
    <t>10 kms</t>
  </si>
  <si>
    <t>20 kms</t>
  </si>
  <si>
    <t>100 kms</t>
  </si>
  <si>
    <t>42,195 kms</t>
  </si>
  <si>
    <t>260 à 292</t>
  </si>
  <si>
    <t>kds ou kms</t>
  </si>
  <si>
    <t>12 à 23</t>
  </si>
  <si>
    <t>23 à 34</t>
  </si>
  <si>
    <t>34 à 45</t>
  </si>
  <si>
    <t>45 à 56</t>
  </si>
  <si>
    <t>56 à 67</t>
  </si>
  <si>
    <t>67 à 79</t>
  </si>
  <si>
    <t>79 à 90</t>
  </si>
  <si>
    <t>90 à 101</t>
  </si>
  <si>
    <t>200 à 220</t>
  </si>
  <si>
    <t>220 à 240</t>
  </si>
  <si>
    <t>minima Cotation Rodio Mixte et correspondances</t>
  </si>
  <si>
    <t>……………… Minutes au kilodénive …………….</t>
  </si>
  <si>
    <t>Les records moyens mixtes</t>
  </si>
  <si>
    <t>24h</t>
  </si>
  <si>
    <t>270 kms</t>
  </si>
  <si>
    <t>240 à 260</t>
  </si>
  <si>
    <t>Référence</t>
  </si>
  <si>
    <t>mixte</t>
  </si>
  <si>
    <t>7 à 12</t>
  </si>
  <si>
    <t>calcul</t>
  </si>
  <si>
    <t>votre situation</t>
  </si>
  <si>
    <t>VERT</t>
  </si>
  <si>
    <t>JAUNE</t>
  </si>
  <si>
    <t>ORANGE</t>
  </si>
  <si>
    <t>ORANGE+</t>
  </si>
  <si>
    <t>ROUGE</t>
  </si>
  <si>
    <t>ROUGE+</t>
  </si>
  <si>
    <t>ROUGE++</t>
  </si>
  <si>
    <t>VIOLET</t>
  </si>
  <si>
    <t>District</t>
  </si>
  <si>
    <t>Interdistrict</t>
  </si>
  <si>
    <t>Départem.</t>
  </si>
  <si>
    <t>D+</t>
  </si>
  <si>
    <t>Régional</t>
  </si>
  <si>
    <t>Inter-Reg.</t>
  </si>
  <si>
    <t>National</t>
  </si>
  <si>
    <t>National+</t>
  </si>
  <si>
    <t>rodio mixte</t>
  </si>
  <si>
    <t>ligue mixte</t>
  </si>
  <si>
    <t>couleur</t>
  </si>
  <si>
    <t>Niveau mixte</t>
  </si>
  <si>
    <t>groupe</t>
  </si>
  <si>
    <t>Cotation mixte</t>
  </si>
  <si>
    <t>temps objectif (hh:mm:ss)</t>
  </si>
  <si>
    <t>Votre cotation estimée</t>
  </si>
  <si>
    <t>Calcul de votre temps objectif à partir de votre cotation mixte</t>
  </si>
  <si>
    <t>HORS CATEGORIE</t>
  </si>
  <si>
    <t>PLAF</t>
  </si>
  <si>
    <t>PLAN</t>
  </si>
  <si>
    <t>Suggestion pour aller plus loin</t>
  </si>
  <si>
    <t xml:space="preserve">sur une distance de </t>
  </si>
  <si>
    <t>allant jusqu'à</t>
  </si>
  <si>
    <t>kds</t>
  </si>
  <si>
    <t>procédé de calcul inventé par Sully THEVENIN  le 30/09/13</t>
  </si>
  <si>
    <t>…et si le temps ci-dessus a été validé…</t>
  </si>
  <si>
    <t>votre base de cotation sera de :</t>
  </si>
  <si>
    <t>St Pierre/Piton Textor</t>
  </si>
  <si>
    <t>Piton Textor/Mare à boue</t>
  </si>
  <si>
    <t>Mare à boue/Cilaos</t>
  </si>
  <si>
    <t>Cilaos/Marla</t>
  </si>
  <si>
    <t>Marla/école Grand Place</t>
  </si>
  <si>
    <t>Grand Place/Roche Plate</t>
  </si>
  <si>
    <t>Roche Plate/école Sans Souci</t>
  </si>
  <si>
    <t>Sans Souci/école La Possession</t>
  </si>
  <si>
    <t>La Possession/Grande Chaloupe</t>
  </si>
  <si>
    <t>Grande Chaloupe/La Redoute</t>
  </si>
  <si>
    <t>kms</t>
  </si>
  <si>
    <t>%R</t>
  </si>
  <si>
    <t>%C</t>
  </si>
  <si>
    <t>%S</t>
  </si>
  <si>
    <t>KDS</t>
  </si>
  <si>
    <t>barriere</t>
  </si>
  <si>
    <t>district</t>
  </si>
  <si>
    <t>GRR2013</t>
  </si>
  <si>
    <t>MINIMA</t>
  </si>
  <si>
    <t>inter-district</t>
  </si>
  <si>
    <t>Département.</t>
  </si>
  <si>
    <t>Départ. +</t>
  </si>
  <si>
    <t>Inter-Régional</t>
  </si>
  <si>
    <t>National +</t>
  </si>
  <si>
    <t>vous</t>
  </si>
  <si>
    <t>ENTREZ VOTRE COTATION</t>
  </si>
  <si>
    <t>*seulement la case bleu est à renseigner</t>
  </si>
  <si>
    <t>LE TEMPS QUE VOUS ALLEZ PRENDRE</t>
  </si>
  <si>
    <t>Votre roadbook</t>
  </si>
  <si>
    <t>dénivelés+</t>
  </si>
  <si>
    <t>temps</t>
  </si>
  <si>
    <t>arrondis</t>
  </si>
  <si>
    <t>ref</t>
  </si>
  <si>
    <t>"LES DONNEES 2013 DU GRAND RAID  île de la REUNION"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</si>
</sst>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[h]:mm:ss;@"/>
    <numFmt numFmtId="166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21" fontId="0" fillId="0" borderId="0" xfId="0" applyNumberFormat="1"/>
    <xf numFmtId="164" fontId="0" fillId="0" borderId="0" xfId="0" applyNumberFormat="1"/>
    <xf numFmtId="46" fontId="0" fillId="0" borderId="0" xfId="0" applyNumberFormat="1"/>
    <xf numFmtId="2" fontId="0" fillId="0" borderId="0" xfId="0" applyNumberFormat="1"/>
    <xf numFmtId="165" fontId="0" fillId="0" borderId="0" xfId="0" applyNumberFormat="1"/>
    <xf numFmtId="1" fontId="0" fillId="0" borderId="0" xfId="0" applyNumberForma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4" fontId="2" fillId="2" borderId="2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21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 applyFill="1" applyBorder="1"/>
    <xf numFmtId="2" fontId="2" fillId="5" borderId="7" xfId="0" applyNumberFormat="1" applyFont="1" applyFill="1" applyBorder="1" applyAlignment="1">
      <alignment horizontal="center"/>
    </xf>
    <xf numFmtId="0" fontId="2" fillId="0" borderId="0" xfId="0" applyFont="1"/>
    <xf numFmtId="165" fontId="7" fillId="5" borderId="7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10" fillId="6" borderId="0" xfId="0" applyFont="1" applyFill="1" applyAlignment="1">
      <alignment horizontal="right"/>
    </xf>
    <xf numFmtId="0" fontId="9" fillId="6" borderId="0" xfId="0" applyFont="1" applyFill="1" applyAlignment="1">
      <alignment horizontal="left"/>
    </xf>
    <xf numFmtId="0" fontId="10" fillId="4" borderId="0" xfId="0" applyFont="1" applyFill="1"/>
    <xf numFmtId="0" fontId="9" fillId="4" borderId="0" xfId="0" applyFont="1" applyFill="1" applyAlignment="1">
      <alignment horizontal="left"/>
    </xf>
    <xf numFmtId="0" fontId="2" fillId="3" borderId="2" xfId="0" applyNumberFormat="1" applyFont="1" applyFill="1" applyBorder="1" applyAlignment="1">
      <alignment horizontal="center"/>
    </xf>
    <xf numFmtId="0" fontId="11" fillId="0" borderId="0" xfId="0" applyFont="1"/>
    <xf numFmtId="0" fontId="0" fillId="7" borderId="0" xfId="0" applyFill="1"/>
    <xf numFmtId="0" fontId="0" fillId="7" borderId="0" xfId="0" applyFill="1" applyAlignment="1">
      <alignment horizontal="center"/>
    </xf>
    <xf numFmtId="0" fontId="3" fillId="6" borderId="4" xfId="0" applyFont="1" applyFill="1" applyBorder="1"/>
    <xf numFmtId="14" fontId="2" fillId="6" borderId="1" xfId="0" applyNumberFormat="1" applyFont="1" applyFill="1" applyBorder="1" applyAlignment="1">
      <alignment horizontal="center"/>
    </xf>
    <xf numFmtId="0" fontId="3" fillId="6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2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7" fillId="8" borderId="15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9" fillId="6" borderId="8" xfId="0" applyNumberFormat="1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165" fontId="0" fillId="6" borderId="14" xfId="0" applyNumberFormat="1" applyFill="1" applyBorder="1"/>
    <xf numFmtId="0" fontId="0" fillId="6" borderId="8" xfId="0" applyFill="1" applyBorder="1"/>
    <xf numFmtId="165" fontId="7" fillId="6" borderId="10" xfId="0" applyNumberFormat="1" applyFont="1" applyFill="1" applyBorder="1"/>
    <xf numFmtId="166" fontId="0" fillId="0" borderId="14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46" fontId="0" fillId="0" borderId="14" xfId="0" applyNumberFormat="1" applyBorder="1"/>
    <xf numFmtId="0" fontId="0" fillId="0" borderId="12" xfId="0" applyBorder="1"/>
    <xf numFmtId="166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12" xfId="0" applyNumberFormat="1" applyBorder="1"/>
    <xf numFmtId="21" fontId="0" fillId="0" borderId="12" xfId="0" applyNumberFormat="1" applyBorder="1"/>
    <xf numFmtId="0" fontId="0" fillId="0" borderId="16" xfId="0" applyBorder="1"/>
    <xf numFmtId="166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6" fontId="0" fillId="0" borderId="16" xfId="0" applyNumberFormat="1" applyBorder="1"/>
    <xf numFmtId="21" fontId="0" fillId="0" borderId="16" xfId="0" applyNumberFormat="1" applyBorder="1"/>
    <xf numFmtId="0" fontId="0" fillId="0" borderId="17" xfId="0" applyBorder="1"/>
    <xf numFmtId="164" fontId="6" fillId="6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53"/>
  <sheetViews>
    <sheetView topLeftCell="A31" workbookViewId="0">
      <selection activeCell="M70" sqref="M70"/>
    </sheetView>
  </sheetViews>
  <sheetFormatPr baseColWidth="10" defaultRowHeight="15" x14ac:dyDescent="0.25"/>
  <cols>
    <col min="1" max="1" width="12.85546875" customWidth="1"/>
    <col min="6" max="6" width="12" bestFit="1" customWidth="1"/>
  </cols>
  <sheetData>
    <row r="2" spans="1:26" x14ac:dyDescent="0.25">
      <c r="A2" s="79" t="s">
        <v>76</v>
      </c>
      <c r="B2" s="80"/>
    </row>
    <row r="3" spans="1:26" x14ac:dyDescent="0.25">
      <c r="A3" s="79"/>
      <c r="B3" s="80"/>
      <c r="K3" s="2" t="e">
        <f>+K4/K5</f>
        <v>#REF!</v>
      </c>
    </row>
    <row r="4" spans="1:26" x14ac:dyDescent="0.25">
      <c r="K4" s="5" t="e">
        <f>+niveau!#REF!</f>
        <v>#REF!</v>
      </c>
    </row>
    <row r="5" spans="1:26" x14ac:dyDescent="0.25">
      <c r="K5" s="36" t="e">
        <f>+niveau!#REF!</f>
        <v>#REF!</v>
      </c>
      <c r="Y5" s="5"/>
    </row>
    <row r="6" spans="1:26" x14ac:dyDescent="0.25">
      <c r="K6" s="2" t="e">
        <f>+IF(AND(K$5&gt;L6,K$5&lt;M6),calcul!J39,0)</f>
        <v>#REF!</v>
      </c>
      <c r="L6">
        <v>7</v>
      </c>
      <c r="M6">
        <v>12.01</v>
      </c>
    </row>
    <row r="7" spans="1:26" x14ac:dyDescent="0.25">
      <c r="K7" s="2" t="e">
        <f>+IF(AND(K$5&gt;L7,K$5&lt;M7),calcul!J40,0)</f>
        <v>#REF!</v>
      </c>
      <c r="L7" s="27">
        <v>12</v>
      </c>
      <c r="M7" s="27">
        <v>23.01</v>
      </c>
      <c r="Q7" s="5"/>
      <c r="R7" s="5"/>
      <c r="S7" s="5"/>
      <c r="T7" s="5"/>
      <c r="U7" s="5"/>
      <c r="V7" s="5"/>
      <c r="W7" s="5"/>
      <c r="X7" s="5"/>
      <c r="Y7" s="6"/>
    </row>
    <row r="8" spans="1:26" x14ac:dyDescent="0.25">
      <c r="K8" s="2" t="e">
        <f>+IF(AND(K$5&gt;L8,K$5&lt;M8),calcul!J41,0)</f>
        <v>#REF!</v>
      </c>
      <c r="L8" s="27">
        <v>23</v>
      </c>
      <c r="M8" s="27">
        <v>34.01</v>
      </c>
      <c r="Q8" s="5"/>
      <c r="R8" s="5"/>
      <c r="S8" s="5"/>
      <c r="T8" s="5"/>
      <c r="U8" s="5"/>
      <c r="V8" s="5"/>
      <c r="W8" s="5"/>
      <c r="X8" s="5"/>
      <c r="Y8" s="6"/>
    </row>
    <row r="9" spans="1:26" x14ac:dyDescent="0.25">
      <c r="K9" s="2" t="e">
        <f>+IF(AND(K$5&gt;L9,K$5&lt;M9),calcul!J42,0)</f>
        <v>#REF!</v>
      </c>
      <c r="L9" s="27">
        <v>34</v>
      </c>
      <c r="M9" s="27">
        <f>+L10+0.01</f>
        <v>45.01</v>
      </c>
      <c r="Q9" s="5"/>
      <c r="R9" s="5"/>
      <c r="S9" s="5"/>
      <c r="T9" s="5"/>
      <c r="U9" s="5"/>
      <c r="V9" s="5"/>
      <c r="W9" s="5"/>
      <c r="X9" s="5"/>
      <c r="Y9" s="6"/>
    </row>
    <row r="10" spans="1:26" x14ac:dyDescent="0.25">
      <c r="K10" s="2" t="e">
        <f>+IF(AND(K$5&gt;L10,K$5&lt;M10),calcul!J43,0)</f>
        <v>#REF!</v>
      </c>
      <c r="L10" s="27">
        <v>45</v>
      </c>
      <c r="M10" s="27">
        <f t="shared" ref="M10:M22" si="0">+L11+0.01</f>
        <v>56.01</v>
      </c>
      <c r="Q10" s="5"/>
      <c r="R10" s="5"/>
      <c r="S10" s="5"/>
      <c r="T10" s="5"/>
      <c r="U10" s="5"/>
      <c r="V10" s="5"/>
      <c r="W10" s="5"/>
      <c r="X10" s="5"/>
      <c r="Y10" s="6"/>
    </row>
    <row r="11" spans="1:26" x14ac:dyDescent="0.25">
      <c r="K11" s="2" t="e">
        <f>+IF(AND(K$5&gt;L11,K$5&lt;M11),calcul!J44,0)</f>
        <v>#REF!</v>
      </c>
      <c r="L11" s="27">
        <v>56</v>
      </c>
      <c r="M11" s="27">
        <f t="shared" si="0"/>
        <v>67.010000000000005</v>
      </c>
      <c r="Q11" s="5"/>
      <c r="R11" s="5"/>
      <c r="S11" s="5"/>
      <c r="T11" s="5"/>
      <c r="U11" s="5"/>
      <c r="V11" s="5"/>
      <c r="W11" s="5"/>
      <c r="X11" s="5"/>
      <c r="Y11" s="6"/>
    </row>
    <row r="12" spans="1:26" x14ac:dyDescent="0.25">
      <c r="K12" s="2" t="e">
        <f>+IF(AND(K$5&gt;L12,K$5&lt;M12),calcul!J45,0)</f>
        <v>#REF!</v>
      </c>
      <c r="L12" s="27">
        <v>67</v>
      </c>
      <c r="M12" s="27">
        <f t="shared" si="0"/>
        <v>79.010000000000005</v>
      </c>
      <c r="Q12" s="5"/>
      <c r="R12" s="5"/>
      <c r="S12" s="5"/>
      <c r="T12" s="5"/>
      <c r="U12" s="5"/>
      <c r="V12" s="5"/>
      <c r="W12" s="5"/>
      <c r="X12" s="5"/>
      <c r="Y12" s="6"/>
    </row>
    <row r="13" spans="1:26" x14ac:dyDescent="0.25">
      <c r="K13" s="2" t="e">
        <f>+IF(AND(K$5&gt;L13,K$5&lt;M13),calcul!J46,0)</f>
        <v>#REF!</v>
      </c>
      <c r="L13" s="27">
        <v>79</v>
      </c>
      <c r="M13" s="27">
        <f t="shared" si="0"/>
        <v>90.01</v>
      </c>
      <c r="Q13" s="5"/>
      <c r="R13" s="5"/>
      <c r="S13" s="5"/>
      <c r="T13" s="5"/>
      <c r="U13" s="5"/>
      <c r="V13" s="5"/>
      <c r="W13" s="5"/>
      <c r="X13" s="5"/>
      <c r="Y13" s="6"/>
    </row>
    <row r="14" spans="1:26" x14ac:dyDescent="0.25">
      <c r="K14" s="2" t="e">
        <f>+IF(AND(K$5&gt;L14,K$5&lt;M14),calcul!J47,0)</f>
        <v>#REF!</v>
      </c>
      <c r="L14" s="27">
        <v>90</v>
      </c>
      <c r="M14" s="27">
        <f t="shared" si="0"/>
        <v>101.01</v>
      </c>
      <c r="Q14" s="5"/>
      <c r="R14" s="5"/>
      <c r="S14" s="5"/>
      <c r="T14" s="5"/>
      <c r="U14" s="5"/>
      <c r="V14" s="5"/>
      <c r="W14" s="5"/>
      <c r="X14" s="5"/>
      <c r="Y14" s="6"/>
    </row>
    <row r="15" spans="1:26" x14ac:dyDescent="0.25">
      <c r="K15" s="2" t="e">
        <f>+IF(AND(K$5&gt;L15,K$5&lt;M15),calcul!J48,0)</f>
        <v>#REF!</v>
      </c>
      <c r="L15" s="27">
        <v>101</v>
      </c>
      <c r="M15" s="27">
        <f t="shared" si="0"/>
        <v>120.01</v>
      </c>
      <c r="Q15" s="5"/>
      <c r="R15" s="5"/>
      <c r="S15" s="5"/>
      <c r="T15" s="5"/>
      <c r="U15" s="5"/>
      <c r="V15" s="5"/>
      <c r="W15" s="5"/>
      <c r="X15" s="5"/>
      <c r="Y15" s="6"/>
    </row>
    <row r="16" spans="1:26" x14ac:dyDescent="0.25">
      <c r="K16" s="2" t="e">
        <f>+IF(AND(K$5&gt;L16,K$5&lt;M16),calcul!J49,0)</f>
        <v>#REF!</v>
      </c>
      <c r="L16" s="27">
        <v>120</v>
      </c>
      <c r="M16" s="27">
        <f t="shared" si="0"/>
        <v>140.01</v>
      </c>
      <c r="Q16" s="5"/>
      <c r="R16" s="5"/>
      <c r="S16" s="5"/>
      <c r="T16" s="5"/>
      <c r="U16" s="5"/>
      <c r="V16" s="5"/>
      <c r="W16" s="5"/>
      <c r="X16" s="5"/>
      <c r="Y16" s="6"/>
      <c r="Z16" s="6"/>
    </row>
    <row r="17" spans="1:26" x14ac:dyDescent="0.25">
      <c r="K17" s="2" t="e">
        <f>+IF(AND(K$5&gt;L17,K$5&lt;M17),calcul!J50,0)</f>
        <v>#REF!</v>
      </c>
      <c r="L17" s="27">
        <v>140</v>
      </c>
      <c r="M17" s="27">
        <f t="shared" si="0"/>
        <v>160.01</v>
      </c>
      <c r="Q17" s="5"/>
      <c r="R17" s="5"/>
      <c r="S17" s="5"/>
      <c r="T17" s="5"/>
      <c r="U17" s="5"/>
      <c r="V17" s="5"/>
      <c r="W17" s="5"/>
      <c r="X17" s="5"/>
      <c r="Y17" s="6"/>
      <c r="Z17" s="6"/>
    </row>
    <row r="18" spans="1:26" x14ac:dyDescent="0.25">
      <c r="K18" s="2" t="e">
        <f>+IF(AND(K$5&gt;L18,K$5&lt;M18),calcul!J51,0)</f>
        <v>#REF!</v>
      </c>
      <c r="L18" s="27">
        <v>160</v>
      </c>
      <c r="M18" s="27">
        <f t="shared" si="0"/>
        <v>180.01</v>
      </c>
      <c r="Q18" s="5"/>
      <c r="R18" s="5"/>
      <c r="S18" s="5"/>
      <c r="T18" s="5"/>
      <c r="U18" s="5"/>
      <c r="V18" s="5"/>
      <c r="W18" s="5"/>
      <c r="X18" s="5"/>
      <c r="Y18" s="6"/>
      <c r="Z18" s="6"/>
    </row>
    <row r="19" spans="1:26" x14ac:dyDescent="0.25">
      <c r="K19" s="2" t="e">
        <f>+IF(AND(K$5&gt;L19,K$5&lt;M19),calcul!J52,0)</f>
        <v>#REF!</v>
      </c>
      <c r="L19" s="27">
        <v>180</v>
      </c>
      <c r="M19" s="27">
        <f t="shared" si="0"/>
        <v>200.01</v>
      </c>
      <c r="Q19" s="5"/>
      <c r="R19" s="5"/>
      <c r="S19" s="5"/>
      <c r="T19" s="5"/>
      <c r="U19" s="5"/>
      <c r="V19" s="5"/>
      <c r="W19" s="5"/>
      <c r="X19" s="5"/>
      <c r="Y19" s="6"/>
      <c r="Z19" s="6"/>
    </row>
    <row r="20" spans="1:26" x14ac:dyDescent="0.25">
      <c r="K20" s="2" t="e">
        <f>+IF(AND(K$5&gt;L20,K$5&lt;M20),calcul!J53,0)</f>
        <v>#REF!</v>
      </c>
      <c r="L20" s="27">
        <v>200</v>
      </c>
      <c r="M20" s="27">
        <f t="shared" si="0"/>
        <v>220.01</v>
      </c>
      <c r="O20" s="4"/>
      <c r="Q20" s="5"/>
      <c r="R20" s="5"/>
      <c r="S20" s="5"/>
      <c r="T20" s="5"/>
      <c r="U20" s="5"/>
      <c r="V20" s="5"/>
      <c r="W20" s="5"/>
      <c r="X20" s="5"/>
      <c r="Y20" s="6"/>
      <c r="Z20" s="6"/>
    </row>
    <row r="21" spans="1:26" x14ac:dyDescent="0.25">
      <c r="K21" s="2" t="e">
        <f>+IF(AND(K$5&gt;L21,K$5&lt;M21),calcul!J54,0)</f>
        <v>#REF!</v>
      </c>
      <c r="L21" s="27">
        <v>220</v>
      </c>
      <c r="M21" s="27">
        <f t="shared" si="0"/>
        <v>240.01</v>
      </c>
      <c r="N21" s="4"/>
      <c r="Q21" s="5"/>
      <c r="R21" s="5"/>
      <c r="S21" s="5"/>
      <c r="T21" s="5"/>
      <c r="U21" s="5"/>
      <c r="V21" s="5"/>
      <c r="W21" s="5"/>
      <c r="X21" s="5"/>
      <c r="Y21" s="6"/>
      <c r="Z21" s="6"/>
    </row>
    <row r="22" spans="1:26" x14ac:dyDescent="0.25">
      <c r="K22" s="2" t="e">
        <f>+IF(AND(K$5&gt;L22,K$5&lt;M22),calcul!J55,0)</f>
        <v>#REF!</v>
      </c>
      <c r="L22" s="27">
        <v>240</v>
      </c>
      <c r="M22" s="27">
        <f t="shared" si="0"/>
        <v>260.01</v>
      </c>
      <c r="N22" s="4"/>
      <c r="Q22" s="5"/>
      <c r="R22" s="5"/>
      <c r="S22" s="5"/>
      <c r="T22" s="5"/>
      <c r="U22" s="5"/>
      <c r="V22" s="5"/>
      <c r="W22" s="5"/>
      <c r="X22" s="5"/>
      <c r="Y22" s="6"/>
      <c r="Z22" s="6"/>
    </row>
    <row r="23" spans="1:26" x14ac:dyDescent="0.25">
      <c r="K23" s="2" t="e">
        <f>+IF(AND(K$5&gt;L23,K$5&lt;M23),calcul!J56,0)</f>
        <v>#REF!</v>
      </c>
      <c r="L23" s="27">
        <v>260</v>
      </c>
      <c r="M23" s="27">
        <v>310</v>
      </c>
      <c r="Q23" s="5"/>
      <c r="R23" s="5"/>
      <c r="S23" s="5"/>
      <c r="T23" s="5"/>
      <c r="U23" s="5"/>
      <c r="V23" s="5"/>
      <c r="W23" s="5"/>
      <c r="X23" s="5"/>
      <c r="Y23" s="6"/>
      <c r="Z23" s="6"/>
    </row>
    <row r="24" spans="1:26" x14ac:dyDescent="0.25">
      <c r="K24" s="2" t="s">
        <v>42</v>
      </c>
      <c r="L24" s="27"/>
      <c r="M24" s="27"/>
      <c r="Q24" s="5"/>
      <c r="R24" s="5"/>
      <c r="S24" s="5"/>
      <c r="T24" s="5"/>
      <c r="U24" s="5"/>
      <c r="V24" s="5"/>
      <c r="W24" s="5"/>
      <c r="X24" s="5"/>
      <c r="Y24" s="6"/>
      <c r="Z24" s="6"/>
    </row>
    <row r="25" spans="1:26" x14ac:dyDescent="0.25">
      <c r="K25" s="37" t="e">
        <f>SUM(K6:K23)</f>
        <v>#REF!</v>
      </c>
    </row>
    <row r="26" spans="1:26" x14ac:dyDescent="0.25">
      <c r="K26" t="e">
        <f>+calcul!J35*K25/K3</f>
        <v>#REF!</v>
      </c>
    </row>
    <row r="27" spans="1:26" x14ac:dyDescent="0.25">
      <c r="K27" t="e">
        <f>+ROUNDUP(K26,0)</f>
        <v>#REF!</v>
      </c>
    </row>
    <row r="28" spans="1:26" x14ac:dyDescent="0.25">
      <c r="A28" t="s">
        <v>35</v>
      </c>
      <c r="F28" s="1"/>
      <c r="G28" s="2"/>
      <c r="K28" t="str">
        <f>+CONCATENATE(calcul!B59,calcul!C59,calcul!D59,calcul!E59,calcul!F59,calcul!G59,calcul!H59,calcul!I59)</f>
        <v>Départem.</v>
      </c>
    </row>
    <row r="29" spans="1:26" x14ac:dyDescent="0.25">
      <c r="A29" t="s">
        <v>17</v>
      </c>
      <c r="B29" s="1">
        <v>1.9386574074074073E-2</v>
      </c>
      <c r="D29" s="2">
        <f>+B29/10</f>
        <v>1.9386574074074074E-3</v>
      </c>
      <c r="F29" s="1"/>
      <c r="G29" s="2"/>
      <c r="H29" s="4"/>
      <c r="J29" s="1"/>
      <c r="K29" t="str">
        <f>+CONCATENATE(calcul!B60,calcul!C60,calcul!D60,calcul!E60,calcul!F60,calcul!G60,calcul!H60,calcul!I60)</f>
        <v>ORANGE</v>
      </c>
      <c r="M29" s="4"/>
    </row>
    <row r="30" spans="1:26" x14ac:dyDescent="0.25">
      <c r="A30" t="s">
        <v>18</v>
      </c>
      <c r="B30" s="1">
        <v>4.0972222222222222E-2</v>
      </c>
      <c r="D30" s="2">
        <f>+B30/20</f>
        <v>2.0486111111111113E-3</v>
      </c>
      <c r="F30" s="1"/>
      <c r="G30" s="2"/>
      <c r="H30" s="4"/>
      <c r="J30" s="1"/>
      <c r="N30" s="4"/>
    </row>
    <row r="31" spans="1:26" x14ac:dyDescent="0.25">
      <c r="A31" t="s">
        <v>20</v>
      </c>
      <c r="B31" s="1">
        <v>9.0972222222222218E-2</v>
      </c>
      <c r="D31" s="2">
        <f>+B31/42.195</f>
        <v>2.1559953127674421E-3</v>
      </c>
      <c r="F31" s="1"/>
      <c r="G31" s="2"/>
      <c r="H31" s="4"/>
      <c r="J31" s="1"/>
      <c r="K31" s="2">
        <f>+K32/K33</f>
        <v>0</v>
      </c>
      <c r="O31" s="4"/>
    </row>
    <row r="32" spans="1:26" x14ac:dyDescent="0.25">
      <c r="A32" t="s">
        <v>19</v>
      </c>
      <c r="B32" s="1">
        <v>0.26666666666666666</v>
      </c>
      <c r="D32" s="2">
        <f>+B32/100</f>
        <v>2.6666666666666666E-3</v>
      </c>
      <c r="F32" s="1"/>
      <c r="G32" s="2"/>
      <c r="H32" s="4"/>
      <c r="J32" s="1"/>
      <c r="K32" s="5">
        <f>+niveau!C26</f>
        <v>0</v>
      </c>
      <c r="P32" s="4"/>
    </row>
    <row r="33" spans="1:17" x14ac:dyDescent="0.25">
      <c r="A33" t="s">
        <v>36</v>
      </c>
      <c r="B33" s="28" t="s">
        <v>37</v>
      </c>
      <c r="C33" s="3">
        <v>1</v>
      </c>
      <c r="D33" s="1">
        <f>+C33/270</f>
        <v>3.7037037037037038E-3</v>
      </c>
      <c r="F33" s="1"/>
      <c r="G33" s="2"/>
      <c r="H33" s="4"/>
      <c r="J33" s="1"/>
      <c r="K33" s="36">
        <f>+niveau!C14</f>
        <v>238.07584</v>
      </c>
      <c r="Q33" s="4"/>
    </row>
    <row r="34" spans="1:17" x14ac:dyDescent="0.25">
      <c r="B34" s="81" t="s">
        <v>33</v>
      </c>
      <c r="C34" s="82"/>
      <c r="D34" s="82"/>
      <c r="E34" s="82"/>
      <c r="F34" s="82"/>
      <c r="G34" s="82"/>
      <c r="H34" s="82"/>
      <c r="I34" s="83"/>
      <c r="K34" s="2">
        <f>+IF(AND(K$33&gt;L34,K$33&lt;M34),calcul!J39,0)</f>
        <v>0</v>
      </c>
      <c r="L34">
        <v>7</v>
      </c>
      <c r="M34">
        <v>12.01</v>
      </c>
    </row>
    <row r="35" spans="1:17" x14ac:dyDescent="0.25">
      <c r="A35" s="24" t="s">
        <v>60</v>
      </c>
      <c r="B35" s="23">
        <v>1490</v>
      </c>
      <c r="C35" s="23">
        <v>1390</v>
      </c>
      <c r="D35" s="23">
        <v>1290</v>
      </c>
      <c r="E35" s="23">
        <v>1190</v>
      </c>
      <c r="F35" s="23">
        <v>1040</v>
      </c>
      <c r="G35" s="23">
        <v>900</v>
      </c>
      <c r="H35" s="23">
        <v>800</v>
      </c>
      <c r="I35" s="23">
        <v>700</v>
      </c>
      <c r="J35" s="29">
        <v>1700</v>
      </c>
      <c r="K35" s="2">
        <f>+IF(AND(K$33&gt;L35,K$33&lt;M35),calcul!J40,0)</f>
        <v>0</v>
      </c>
      <c r="L35" s="27">
        <v>12</v>
      </c>
      <c r="M35" s="27">
        <v>23.01</v>
      </c>
    </row>
    <row r="36" spans="1:17" x14ac:dyDescent="0.25">
      <c r="A36" s="24" t="s">
        <v>61</v>
      </c>
      <c r="B36" s="23" t="s">
        <v>59</v>
      </c>
      <c r="C36" s="23" t="s">
        <v>58</v>
      </c>
      <c r="D36" s="23" t="s">
        <v>57</v>
      </c>
      <c r="E36" s="23" t="s">
        <v>56</v>
      </c>
      <c r="F36" s="23" t="s">
        <v>55</v>
      </c>
      <c r="G36" s="23" t="s">
        <v>54</v>
      </c>
      <c r="H36" s="23" t="s">
        <v>53</v>
      </c>
      <c r="I36" s="23" t="s">
        <v>52</v>
      </c>
      <c r="J36" s="30" t="s">
        <v>39</v>
      </c>
      <c r="K36" s="2">
        <f>+IF(AND(K$33&gt;L36,K$33&lt;M36),calcul!J41,0)</f>
        <v>0</v>
      </c>
      <c r="L36" s="27">
        <v>23</v>
      </c>
      <c r="M36" s="27">
        <v>34.01</v>
      </c>
    </row>
    <row r="37" spans="1:17" x14ac:dyDescent="0.25">
      <c r="A37" s="24" t="s">
        <v>62</v>
      </c>
      <c r="B37" s="26" t="s">
        <v>51</v>
      </c>
      <c r="C37" s="26" t="s">
        <v>50</v>
      </c>
      <c r="D37" s="26" t="s">
        <v>49</v>
      </c>
      <c r="E37" s="26" t="s">
        <v>48</v>
      </c>
      <c r="F37" s="26" t="s">
        <v>47</v>
      </c>
      <c r="G37" s="26" t="s">
        <v>46</v>
      </c>
      <c r="H37" s="26" t="s">
        <v>45</v>
      </c>
      <c r="I37" s="26" t="s">
        <v>44</v>
      </c>
      <c r="J37" s="30" t="s">
        <v>5</v>
      </c>
      <c r="K37" s="2">
        <f>+IF(AND(K$33&gt;L37,K$33&lt;M37),calcul!J42,0)</f>
        <v>0</v>
      </c>
      <c r="L37" s="27">
        <v>34</v>
      </c>
      <c r="M37" s="27">
        <f>+L38+0.01</f>
        <v>45.01</v>
      </c>
    </row>
    <row r="38" spans="1:17" x14ac:dyDescent="0.25">
      <c r="A38" s="25" t="s">
        <v>22</v>
      </c>
      <c r="B38" s="81" t="s">
        <v>34</v>
      </c>
      <c r="C38" s="82"/>
      <c r="D38" s="82"/>
      <c r="E38" s="82"/>
      <c r="F38" s="82"/>
      <c r="G38" s="82"/>
      <c r="H38" s="82"/>
      <c r="I38" s="83"/>
      <c r="J38" s="31" t="s">
        <v>40</v>
      </c>
      <c r="K38" s="2">
        <f>+IF(AND(K$33&gt;L38,K$33&lt;M38),calcul!J43,0)</f>
        <v>0</v>
      </c>
      <c r="L38" s="27">
        <v>45</v>
      </c>
      <c r="M38" s="27">
        <f t="shared" ref="M38:M50" si="1">+L39+0.01</f>
        <v>56.01</v>
      </c>
      <c r="N38" s="4"/>
    </row>
    <row r="39" spans="1:17" x14ac:dyDescent="0.25">
      <c r="A39" s="24" t="s">
        <v>41</v>
      </c>
      <c r="B39" s="34">
        <f t="shared" ref="B39:I39" si="2">+$J$35*$J39/B35</f>
        <v>2.2052883420333085E-3</v>
      </c>
      <c r="C39" s="34">
        <f t="shared" si="2"/>
        <v>2.3639421795896617E-3</v>
      </c>
      <c r="D39" s="34">
        <f t="shared" si="2"/>
        <v>2.5471935113407984E-3</v>
      </c>
      <c r="E39" s="34">
        <f t="shared" si="2"/>
        <v>2.7612433862433863E-3</v>
      </c>
      <c r="F39" s="34">
        <f t="shared" si="2"/>
        <v>3.1594996438746442E-3</v>
      </c>
      <c r="G39" s="34">
        <f t="shared" si="2"/>
        <v>3.650977366255144E-3</v>
      </c>
      <c r="H39" s="34">
        <f t="shared" si="2"/>
        <v>4.107349537037037E-3</v>
      </c>
      <c r="I39" s="34">
        <f t="shared" si="2"/>
        <v>4.6941137566137566E-3</v>
      </c>
      <c r="J39" s="32">
        <v>1.9328703703703704E-3</v>
      </c>
      <c r="K39" s="2">
        <f>+IF(AND(K$33&gt;L39,K$33&lt;M39),calcul!J44,0)</f>
        <v>0</v>
      </c>
      <c r="L39" s="27">
        <v>56</v>
      </c>
      <c r="M39" s="27">
        <f t="shared" si="1"/>
        <v>67.010000000000005</v>
      </c>
      <c r="O39" s="4"/>
    </row>
    <row r="40" spans="1:17" x14ac:dyDescent="0.25">
      <c r="A40" s="24" t="s">
        <v>23</v>
      </c>
      <c r="B40" s="34">
        <f t="shared" ref="B40:I49" si="3">+$J$35*$J40/B$35</f>
        <v>2.3373415361670397E-3</v>
      </c>
      <c r="C40" s="34">
        <f t="shared" si="3"/>
        <v>2.5054956035171867E-3</v>
      </c>
      <c r="D40" s="34">
        <f t="shared" si="3"/>
        <v>2.6997200689061157E-3</v>
      </c>
      <c r="E40" s="34">
        <f t="shared" si="3"/>
        <v>2.926587301587302E-3</v>
      </c>
      <c r="F40" s="34">
        <f t="shared" si="3"/>
        <v>3.3486912393162396E-3</v>
      </c>
      <c r="G40" s="34">
        <f t="shared" si="3"/>
        <v>3.8695987654320993E-3</v>
      </c>
      <c r="H40" s="34">
        <f t="shared" si="3"/>
        <v>4.3532986111111116E-3</v>
      </c>
      <c r="I40" s="34">
        <f t="shared" si="3"/>
        <v>4.9751984126984129E-3</v>
      </c>
      <c r="J40" s="33">
        <v>2.0486111111111113E-3</v>
      </c>
      <c r="K40" s="2">
        <f>+IF(AND(K$33&gt;L40,K$33&lt;M40),calcul!J45,0)</f>
        <v>0</v>
      </c>
      <c r="L40" s="27">
        <v>67</v>
      </c>
      <c r="M40" s="27">
        <f t="shared" si="1"/>
        <v>79.010000000000005</v>
      </c>
      <c r="P40" s="4"/>
    </row>
    <row r="41" spans="1:17" x14ac:dyDescent="0.25">
      <c r="A41" s="24" t="s">
        <v>24</v>
      </c>
      <c r="B41" s="34">
        <f t="shared" si="3"/>
        <v>2.4033681332339047E-3</v>
      </c>
      <c r="C41" s="34">
        <f t="shared" si="3"/>
        <v>2.5762723154809483E-3</v>
      </c>
      <c r="D41" s="34">
        <f t="shared" si="3"/>
        <v>2.7759833476887737E-3</v>
      </c>
      <c r="E41" s="34">
        <f t="shared" si="3"/>
        <v>3.0092592592592588E-3</v>
      </c>
      <c r="F41" s="34">
        <f t="shared" si="3"/>
        <v>3.4432870370370368E-3</v>
      </c>
      <c r="G41" s="34">
        <f t="shared" si="3"/>
        <v>3.978909465020576E-3</v>
      </c>
      <c r="H41" s="34">
        <f t="shared" si="3"/>
        <v>4.4762731481481476E-3</v>
      </c>
      <c r="I41" s="34">
        <f t="shared" si="3"/>
        <v>5.1157407407407401E-3</v>
      </c>
      <c r="J41" s="33">
        <v>2.1064814814814813E-3</v>
      </c>
      <c r="K41" s="2">
        <f>+IF(AND(K$33&gt;L41,K$33&lt;M41),calcul!J46,0)</f>
        <v>0</v>
      </c>
      <c r="L41" s="27">
        <v>79</v>
      </c>
      <c r="M41" s="27">
        <f t="shared" si="1"/>
        <v>90.01</v>
      </c>
      <c r="Q41" s="4"/>
    </row>
    <row r="42" spans="1:17" x14ac:dyDescent="0.25">
      <c r="A42" s="24" t="s">
        <v>25</v>
      </c>
      <c r="B42" s="34">
        <f t="shared" si="3"/>
        <v>2.4561894108873976E-3</v>
      </c>
      <c r="C42" s="34">
        <f t="shared" si="3"/>
        <v>2.6328936850519586E-3</v>
      </c>
      <c r="D42" s="34">
        <f t="shared" si="3"/>
        <v>2.8369939707149011E-3</v>
      </c>
      <c r="E42" s="34">
        <f t="shared" si="3"/>
        <v>3.0753968253968253E-3</v>
      </c>
      <c r="F42" s="34">
        <f t="shared" si="3"/>
        <v>3.5189636752136753E-3</v>
      </c>
      <c r="G42" s="34">
        <f t="shared" si="3"/>
        <v>4.0663580246913583E-3</v>
      </c>
      <c r="H42" s="34">
        <f t="shared" si="3"/>
        <v>4.5746527777777782E-3</v>
      </c>
      <c r="I42" s="34">
        <f t="shared" si="3"/>
        <v>5.2281746031746035E-3</v>
      </c>
      <c r="J42" s="33">
        <v>2.1527777777777778E-3</v>
      </c>
      <c r="K42" s="2">
        <f>+IF(AND(K$33&gt;L42,K$33&lt;M42),calcul!J47,0)</f>
        <v>0</v>
      </c>
      <c r="L42" s="27">
        <v>90</v>
      </c>
      <c r="M42" s="27">
        <f t="shared" si="1"/>
        <v>101.01</v>
      </c>
    </row>
    <row r="43" spans="1:17" x14ac:dyDescent="0.25">
      <c r="A43" s="24" t="s">
        <v>26</v>
      </c>
      <c r="B43" s="34">
        <f t="shared" si="3"/>
        <v>2.5750372856077554E-3</v>
      </c>
      <c r="C43" s="34">
        <f t="shared" si="3"/>
        <v>2.7602917665867309E-3</v>
      </c>
      <c r="D43" s="34">
        <f t="shared" si="3"/>
        <v>2.9742678725236866E-3</v>
      </c>
      <c r="E43" s="34">
        <f t="shared" si="3"/>
        <v>3.2242063492063495E-3</v>
      </c>
      <c r="F43" s="34">
        <f t="shared" si="3"/>
        <v>3.6892361111111114E-3</v>
      </c>
      <c r="G43" s="34">
        <f t="shared" si="3"/>
        <v>4.2631172839506177E-3</v>
      </c>
      <c r="H43" s="34">
        <f t="shared" si="3"/>
        <v>4.7960069444444448E-3</v>
      </c>
      <c r="I43" s="34">
        <f t="shared" si="3"/>
        <v>5.4811507936507941E-3</v>
      </c>
      <c r="J43" s="33">
        <v>2.2569444444444447E-3</v>
      </c>
      <c r="K43" s="2">
        <f>+IF(AND(K$33&gt;L43,K$33&lt;M43),calcul!J48,0)</f>
        <v>0</v>
      </c>
      <c r="L43" s="27">
        <v>101</v>
      </c>
      <c r="M43" s="27">
        <f t="shared" si="1"/>
        <v>120.01</v>
      </c>
    </row>
    <row r="44" spans="1:17" x14ac:dyDescent="0.25">
      <c r="A44" s="24" t="s">
        <v>27</v>
      </c>
      <c r="B44" s="34">
        <f t="shared" si="3"/>
        <v>2.6938851603281137E-3</v>
      </c>
      <c r="C44" s="34">
        <f t="shared" si="3"/>
        <v>2.8876898481215033E-3</v>
      </c>
      <c r="D44" s="34">
        <f t="shared" si="3"/>
        <v>3.1115417743324725E-3</v>
      </c>
      <c r="E44" s="34">
        <f t="shared" si="3"/>
        <v>3.3730158730158732E-3</v>
      </c>
      <c r="F44" s="34">
        <f t="shared" si="3"/>
        <v>3.8595085470085472E-3</v>
      </c>
      <c r="G44" s="34">
        <f t="shared" si="3"/>
        <v>4.459876543209877E-3</v>
      </c>
      <c r="H44" s="34">
        <f t="shared" si="3"/>
        <v>5.0173611111111113E-3</v>
      </c>
      <c r="I44" s="34">
        <f t="shared" si="3"/>
        <v>5.7341269841269847E-3</v>
      </c>
      <c r="J44" s="33">
        <v>2.3611111111111111E-3</v>
      </c>
      <c r="K44" s="2">
        <f>+IF(AND(K$33&gt;L44,K$33&lt;M44),calcul!J49,0)</f>
        <v>0</v>
      </c>
      <c r="L44" s="27">
        <v>120</v>
      </c>
      <c r="M44" s="27">
        <f t="shared" si="1"/>
        <v>140.01</v>
      </c>
    </row>
    <row r="45" spans="1:17" x14ac:dyDescent="0.25">
      <c r="A45" s="24" t="s">
        <v>28</v>
      </c>
      <c r="B45" s="34">
        <f t="shared" si="3"/>
        <v>2.8127330350484715E-3</v>
      </c>
      <c r="C45" s="34">
        <f t="shared" si="3"/>
        <v>3.0150879296562752E-3</v>
      </c>
      <c r="D45" s="34">
        <f t="shared" si="3"/>
        <v>3.2488156761412575E-3</v>
      </c>
      <c r="E45" s="34">
        <f t="shared" si="3"/>
        <v>3.5218253968253969E-3</v>
      </c>
      <c r="F45" s="34">
        <f t="shared" si="3"/>
        <v>4.0297809829059833E-3</v>
      </c>
      <c r="G45" s="34">
        <f t="shared" si="3"/>
        <v>4.6566358024691355E-3</v>
      </c>
      <c r="H45" s="34">
        <f t="shared" si="3"/>
        <v>5.2387152777777779E-3</v>
      </c>
      <c r="I45" s="34">
        <f t="shared" si="3"/>
        <v>5.9871031746031745E-3</v>
      </c>
      <c r="J45" s="33">
        <v>2.4652777777777776E-3</v>
      </c>
      <c r="K45" s="2">
        <f>+IF(AND(K$33&gt;L45,K$33&lt;M45),calcul!J50,0)</f>
        <v>0</v>
      </c>
      <c r="L45" s="27">
        <v>140</v>
      </c>
      <c r="M45" s="27">
        <f t="shared" si="1"/>
        <v>160.01</v>
      </c>
    </row>
    <row r="46" spans="1:17" x14ac:dyDescent="0.25">
      <c r="A46" s="24" t="s">
        <v>29</v>
      </c>
      <c r="B46" s="34">
        <f t="shared" si="3"/>
        <v>2.9315809097688289E-3</v>
      </c>
      <c r="C46" s="34">
        <f t="shared" si="3"/>
        <v>3.1424860111910471E-3</v>
      </c>
      <c r="D46" s="34">
        <f t="shared" si="3"/>
        <v>3.386089577950043E-3</v>
      </c>
      <c r="E46" s="34">
        <f t="shared" si="3"/>
        <v>3.6706349206349206E-3</v>
      </c>
      <c r="F46" s="34">
        <f t="shared" si="3"/>
        <v>4.2000534188034186E-3</v>
      </c>
      <c r="G46" s="34">
        <f t="shared" si="3"/>
        <v>4.8533950617283949E-3</v>
      </c>
      <c r="H46" s="34">
        <f t="shared" si="3"/>
        <v>5.4600694444444445E-3</v>
      </c>
      <c r="I46" s="34">
        <f t="shared" si="3"/>
        <v>6.2400793650793651E-3</v>
      </c>
      <c r="J46" s="33">
        <v>2.5694444444444445E-3</v>
      </c>
      <c r="K46" s="2">
        <f>+IF(AND(K$33&gt;L46,K$33&lt;M46),calcul!J51,0)</f>
        <v>0</v>
      </c>
      <c r="L46" s="27">
        <v>160</v>
      </c>
      <c r="M46" s="27">
        <f t="shared" si="1"/>
        <v>180.01</v>
      </c>
      <c r="N46" s="4"/>
    </row>
    <row r="47" spans="1:17" x14ac:dyDescent="0.25">
      <c r="A47" s="24" t="s">
        <v>30</v>
      </c>
      <c r="B47" s="34">
        <f t="shared" si="3"/>
        <v>3.0372234650758146E-3</v>
      </c>
      <c r="C47" s="34">
        <f t="shared" si="3"/>
        <v>3.2557287503330672E-3</v>
      </c>
      <c r="D47" s="34">
        <f t="shared" si="3"/>
        <v>3.5081108240022974E-3</v>
      </c>
      <c r="E47" s="34">
        <f t="shared" si="3"/>
        <v>3.8029100529100536E-3</v>
      </c>
      <c r="F47" s="34">
        <f t="shared" si="3"/>
        <v>4.3514066951566956E-3</v>
      </c>
      <c r="G47" s="34">
        <f t="shared" si="3"/>
        <v>5.0282921810699596E-3</v>
      </c>
      <c r="H47" s="34">
        <f t="shared" si="3"/>
        <v>5.6568287037037047E-3</v>
      </c>
      <c r="I47" s="34">
        <f t="shared" si="3"/>
        <v>6.464947089947091E-3</v>
      </c>
      <c r="J47" s="33">
        <v>2.6620370370370374E-3</v>
      </c>
      <c r="K47" s="2">
        <f>+IF(AND(K$33&gt;L47,K$33&lt;M47),calcul!J52,0)</f>
        <v>0</v>
      </c>
      <c r="L47" s="27">
        <v>180</v>
      </c>
      <c r="M47" s="27">
        <f t="shared" si="1"/>
        <v>200.01</v>
      </c>
      <c r="O47" s="4"/>
    </row>
    <row r="48" spans="1:17" x14ac:dyDescent="0.25">
      <c r="A48" s="24" t="s">
        <v>0</v>
      </c>
      <c r="B48" s="34">
        <f t="shared" si="3"/>
        <v>3.169276659209545E-3</v>
      </c>
      <c r="C48" s="34">
        <f t="shared" si="3"/>
        <v>3.3972821742605918E-3</v>
      </c>
      <c r="D48" s="34">
        <f t="shared" si="3"/>
        <v>3.6606373815676143E-3</v>
      </c>
      <c r="E48" s="34">
        <f t="shared" si="3"/>
        <v>3.968253968253968E-3</v>
      </c>
      <c r="F48" s="34">
        <f t="shared" si="3"/>
        <v>4.5405982905982909E-3</v>
      </c>
      <c r="G48" s="34">
        <f t="shared" si="3"/>
        <v>5.2469135802469136E-3</v>
      </c>
      <c r="H48" s="34">
        <f t="shared" si="3"/>
        <v>5.9027777777777776E-3</v>
      </c>
      <c r="I48" s="34">
        <f t="shared" si="3"/>
        <v>6.7460317460317464E-3</v>
      </c>
      <c r="J48" s="33">
        <v>2.7777777777777779E-3</v>
      </c>
      <c r="K48" s="2">
        <f>+IF(AND(K$33&gt;L48,K$33&lt;M48),calcul!J53,0)</f>
        <v>0</v>
      </c>
      <c r="L48" s="27">
        <v>200</v>
      </c>
      <c r="M48" s="27">
        <f t="shared" si="1"/>
        <v>220.01</v>
      </c>
      <c r="P48" s="4"/>
    </row>
    <row r="49" spans="1:17" x14ac:dyDescent="0.25">
      <c r="A49" s="24" t="s">
        <v>1</v>
      </c>
      <c r="B49" s="34">
        <f t="shared" si="3"/>
        <v>3.3013298533432762E-3</v>
      </c>
      <c r="C49" s="34">
        <f t="shared" si="3"/>
        <v>3.5388355981881164E-3</v>
      </c>
      <c r="D49" s="34">
        <f t="shared" si="3"/>
        <v>3.8131639391329316E-3</v>
      </c>
      <c r="E49" s="34">
        <f t="shared" si="3"/>
        <v>4.1335978835978842E-3</v>
      </c>
      <c r="F49" s="34">
        <f t="shared" si="3"/>
        <v>4.7297898860398863E-3</v>
      </c>
      <c r="G49" s="34">
        <f t="shared" si="3"/>
        <v>5.4655349794238686E-3</v>
      </c>
      <c r="H49" s="34">
        <f t="shared" si="3"/>
        <v>6.1487268518518523E-3</v>
      </c>
      <c r="I49" s="34">
        <f t="shared" si="3"/>
        <v>7.0271164021164026E-3</v>
      </c>
      <c r="J49" s="33">
        <v>2.8935185185185188E-3</v>
      </c>
      <c r="K49" s="2">
        <f>+IF(AND(K$33&gt;L49,K$33&lt;M49),calcul!J54,0)</f>
        <v>3.472222222222222E-3</v>
      </c>
      <c r="L49" s="27">
        <v>220</v>
      </c>
      <c r="M49" s="27">
        <f t="shared" si="1"/>
        <v>240.01</v>
      </c>
      <c r="Q49" s="4"/>
    </row>
    <row r="50" spans="1:17" x14ac:dyDescent="0.25">
      <c r="A50" s="24" t="s">
        <v>2</v>
      </c>
      <c r="B50" s="34">
        <f t="shared" ref="B50:I56" si="4">+$J$35*$J50/B$35</f>
        <v>3.4333830474770066E-3</v>
      </c>
      <c r="C50" s="34">
        <f t="shared" si="4"/>
        <v>3.6803890221156401E-3</v>
      </c>
      <c r="D50" s="34">
        <f t="shared" si="4"/>
        <v>3.9656904966982476E-3</v>
      </c>
      <c r="E50" s="34">
        <f t="shared" si="4"/>
        <v>4.2989417989417978E-3</v>
      </c>
      <c r="F50" s="34">
        <f t="shared" si="4"/>
        <v>4.9189814814814808E-3</v>
      </c>
      <c r="G50" s="34">
        <f t="shared" si="4"/>
        <v>5.6841563786008218E-3</v>
      </c>
      <c r="H50" s="34">
        <f t="shared" si="4"/>
        <v>6.3946759259259243E-3</v>
      </c>
      <c r="I50" s="34">
        <f t="shared" si="4"/>
        <v>7.3082010582010562E-3</v>
      </c>
      <c r="J50" s="33">
        <v>3.0092592592592588E-3</v>
      </c>
      <c r="K50" s="2">
        <f>+IF(AND(K$33&gt;L50,K$33&lt;M50),calcul!J55,0)</f>
        <v>0</v>
      </c>
      <c r="L50" s="27">
        <v>240</v>
      </c>
      <c r="M50" s="27">
        <f t="shared" si="1"/>
        <v>260.01</v>
      </c>
    </row>
    <row r="51" spans="1:17" x14ac:dyDescent="0.25">
      <c r="A51" s="24" t="s">
        <v>3</v>
      </c>
      <c r="B51" s="34">
        <f t="shared" si="4"/>
        <v>3.5654362416107383E-3</v>
      </c>
      <c r="C51" s="34">
        <f t="shared" si="4"/>
        <v>3.8219424460431656E-3</v>
      </c>
      <c r="D51" s="34">
        <f t="shared" si="4"/>
        <v>4.1182170542635663E-3</v>
      </c>
      <c r="E51" s="34">
        <f t="shared" si="4"/>
        <v>4.464285714285714E-3</v>
      </c>
      <c r="F51" s="34">
        <f t="shared" si="4"/>
        <v>5.108173076923077E-3</v>
      </c>
      <c r="G51" s="34">
        <f t="shared" si="4"/>
        <v>5.9027777777777776E-3</v>
      </c>
      <c r="H51" s="34">
        <f t="shared" si="4"/>
        <v>6.6406249999999998E-3</v>
      </c>
      <c r="I51" s="34">
        <f t="shared" si="4"/>
        <v>7.5892857142857142E-3</v>
      </c>
      <c r="J51" s="33">
        <v>3.1249999999999997E-3</v>
      </c>
      <c r="K51" s="2">
        <f>+IF(AND(K$33&gt;L51,K$33&lt;M51),calcul!J56,0)</f>
        <v>0</v>
      </c>
      <c r="L51" s="27">
        <v>260</v>
      </c>
      <c r="M51" s="27">
        <v>310</v>
      </c>
    </row>
    <row r="52" spans="1:17" x14ac:dyDescent="0.25">
      <c r="A52" s="24" t="s">
        <v>4</v>
      </c>
      <c r="B52" s="34">
        <f t="shared" si="4"/>
        <v>3.6974894357444696E-3</v>
      </c>
      <c r="C52" s="34">
        <f t="shared" si="4"/>
        <v>3.9634958699706901E-3</v>
      </c>
      <c r="D52" s="34">
        <f t="shared" si="4"/>
        <v>4.2707436118288832E-3</v>
      </c>
      <c r="E52" s="34">
        <f t="shared" si="4"/>
        <v>4.6296296296296302E-3</v>
      </c>
      <c r="F52" s="34">
        <f t="shared" si="4"/>
        <v>5.2973646723646723E-3</v>
      </c>
      <c r="G52" s="34">
        <f t="shared" si="4"/>
        <v>6.1213991769547326E-3</v>
      </c>
      <c r="H52" s="34">
        <f t="shared" si="4"/>
        <v>6.8865740740740745E-3</v>
      </c>
      <c r="I52" s="34">
        <f t="shared" si="4"/>
        <v>7.8703703703703713E-3</v>
      </c>
      <c r="J52" s="33">
        <v>3.2407407407407406E-3</v>
      </c>
      <c r="K52" s="2" t="s">
        <v>42</v>
      </c>
      <c r="L52" s="27"/>
      <c r="M52" s="27"/>
    </row>
    <row r="53" spans="1:17" x14ac:dyDescent="0.25">
      <c r="A53" s="24" t="s">
        <v>31</v>
      </c>
      <c r="B53" s="34">
        <f t="shared" si="4"/>
        <v>3.8295426298782E-3</v>
      </c>
      <c r="C53" s="34">
        <f t="shared" si="4"/>
        <v>4.1050492938982143E-3</v>
      </c>
      <c r="D53" s="34">
        <f t="shared" si="4"/>
        <v>4.4232701693942E-3</v>
      </c>
      <c r="E53" s="34">
        <f t="shared" si="4"/>
        <v>4.7949735449735447E-3</v>
      </c>
      <c r="F53" s="34">
        <f t="shared" si="4"/>
        <v>5.4865562678062677E-3</v>
      </c>
      <c r="G53" s="34">
        <f t="shared" si="4"/>
        <v>6.3400205761316867E-3</v>
      </c>
      <c r="H53" s="34">
        <f t="shared" si="4"/>
        <v>7.1325231481481474E-3</v>
      </c>
      <c r="I53" s="34">
        <f t="shared" si="4"/>
        <v>8.1514550264550258E-3</v>
      </c>
      <c r="J53" s="33">
        <v>3.3564814814814811E-3</v>
      </c>
      <c r="K53" s="37">
        <f>SUM(K34:K51)</f>
        <v>3.472222222222222E-3</v>
      </c>
    </row>
    <row r="54" spans="1:17" x14ac:dyDescent="0.25">
      <c r="A54" s="24" t="s">
        <v>32</v>
      </c>
      <c r="B54" s="34">
        <f t="shared" si="4"/>
        <v>3.9615958240119317E-3</v>
      </c>
      <c r="C54" s="34">
        <f t="shared" si="4"/>
        <v>4.2466027178257393E-3</v>
      </c>
      <c r="D54" s="34">
        <f t="shared" si="4"/>
        <v>4.5757967269595178E-3</v>
      </c>
      <c r="E54" s="34">
        <f t="shared" si="4"/>
        <v>4.96031746031746E-3</v>
      </c>
      <c r="F54" s="34">
        <f t="shared" si="4"/>
        <v>5.675747863247863E-3</v>
      </c>
      <c r="G54" s="34">
        <f t="shared" si="4"/>
        <v>6.5586419753086416E-3</v>
      </c>
      <c r="H54" s="34">
        <f t="shared" si="4"/>
        <v>7.378472222222222E-3</v>
      </c>
      <c r="I54" s="34">
        <f t="shared" si="4"/>
        <v>8.4325396825396821E-3</v>
      </c>
      <c r="J54" s="33">
        <v>3.472222222222222E-3</v>
      </c>
      <c r="K54" s="5">
        <f>+K53*K33</f>
        <v>0.82665222222222212</v>
      </c>
      <c r="N54" s="4"/>
    </row>
    <row r="55" spans="1:17" x14ac:dyDescent="0.25">
      <c r="A55" s="24" t="s">
        <v>38</v>
      </c>
      <c r="B55" s="35">
        <f t="shared" si="4"/>
        <v>4.0936490181456625E-3</v>
      </c>
      <c r="C55" s="35">
        <f t="shared" si="4"/>
        <v>4.3881561417532643E-3</v>
      </c>
      <c r="D55" s="35">
        <f t="shared" si="4"/>
        <v>4.7283232845248347E-3</v>
      </c>
      <c r="E55" s="35">
        <f t="shared" si="4"/>
        <v>5.1256613756613754E-3</v>
      </c>
      <c r="F55" s="35">
        <f t="shared" si="4"/>
        <v>5.8649394586894592E-3</v>
      </c>
      <c r="G55" s="35">
        <f t="shared" si="4"/>
        <v>6.7772633744855966E-3</v>
      </c>
      <c r="H55" s="35">
        <f t="shared" si="4"/>
        <v>7.6244212962962967E-3</v>
      </c>
      <c r="I55" s="35">
        <f t="shared" si="4"/>
        <v>8.7136243386243383E-3</v>
      </c>
      <c r="J55" s="33">
        <v>3.5879629629629629E-3</v>
      </c>
      <c r="K55" s="5">
        <f>1700*K54/niveau!C13</f>
        <v>1.4339885487528343</v>
      </c>
      <c r="O55" s="4"/>
    </row>
    <row r="56" spans="1:17" x14ac:dyDescent="0.25">
      <c r="A56" s="24" t="s">
        <v>21</v>
      </c>
      <c r="B56" s="35">
        <f t="shared" si="4"/>
        <v>4.2257022122793933E-3</v>
      </c>
      <c r="C56" s="35">
        <f t="shared" si="4"/>
        <v>4.5297095656807885E-3</v>
      </c>
      <c r="D56" s="35">
        <f t="shared" si="4"/>
        <v>4.8808498420901516E-3</v>
      </c>
      <c r="E56" s="35">
        <f t="shared" si="4"/>
        <v>5.2910052910052907E-3</v>
      </c>
      <c r="F56" s="35">
        <f t="shared" si="4"/>
        <v>6.0541310541310537E-3</v>
      </c>
      <c r="G56" s="35">
        <f t="shared" si="4"/>
        <v>6.9958847736625506E-3</v>
      </c>
      <c r="H56" s="35">
        <f t="shared" si="4"/>
        <v>7.8703703703703696E-3</v>
      </c>
      <c r="I56" s="35">
        <f t="shared" si="4"/>
        <v>8.9947089947089946E-3</v>
      </c>
      <c r="J56" s="33">
        <v>3.7037037037037034E-3</v>
      </c>
      <c r="K56" s="2">
        <f>+K55/K33</f>
        <v>6.0232426303854867E-3</v>
      </c>
      <c r="P56" s="4"/>
    </row>
    <row r="57" spans="1:17" x14ac:dyDescent="0.25">
      <c r="B57" s="81" t="s">
        <v>43</v>
      </c>
      <c r="C57" s="82"/>
      <c r="D57" s="82"/>
      <c r="E57" s="82"/>
      <c r="F57" s="82"/>
      <c r="G57" s="82"/>
      <c r="H57" s="82"/>
      <c r="I57" s="83"/>
      <c r="J57" s="2"/>
      <c r="K57" t="e">
        <f>+CONCATENATE(niveau!J43,niveau!K43,niveau!L43,niveau!M43,niveau!N43,niveau!#REF!,niveau!#REF!,niveau!#REF!)</f>
        <v>#REF!</v>
      </c>
      <c r="M57" s="4"/>
      <c r="Q57" s="4"/>
    </row>
    <row r="58" spans="1:17" x14ac:dyDescent="0.25">
      <c r="A58" s="24" t="s">
        <v>65</v>
      </c>
      <c r="B58" s="23">
        <f>+IF(AND(J58&gt;1489,J58&lt;1701),J58,0)</f>
        <v>0</v>
      </c>
      <c r="C58" s="23">
        <f>+IF(AND(J58&gt;1389,J58&lt;1490),J58,0)</f>
        <v>0</v>
      </c>
      <c r="D58" s="23">
        <f>+IF(AND(J58&gt;1289,J58&lt;1390),J58,0)</f>
        <v>0</v>
      </c>
      <c r="E58" s="23">
        <f>+IF(AND(J58&gt;1189,J58&lt;1290),J58,0)</f>
        <v>0</v>
      </c>
      <c r="F58" s="23">
        <f>+IF(AND(J58&gt;1039,J58&lt;1190),J58,0)</f>
        <v>0</v>
      </c>
      <c r="G58" s="23">
        <f>+IF(AND(J58&gt;899,J58&lt;1040),J58,0)</f>
        <v>980</v>
      </c>
      <c r="H58" s="23">
        <f>+IF(AND(J58&gt;799,J58&lt;900),J58,0)</f>
        <v>0</v>
      </c>
      <c r="I58" s="23">
        <f>+IF(AND(J58&gt;699,J58&lt;800),J58,0)</f>
        <v>0</v>
      </c>
      <c r="J58">
        <f>+niveau!C13</f>
        <v>980</v>
      </c>
    </row>
    <row r="59" spans="1:17" x14ac:dyDescent="0.25">
      <c r="A59" s="24" t="s">
        <v>63</v>
      </c>
      <c r="B59" s="23" t="str">
        <f t="shared" ref="B59:I59" si="5">+IF(B58=0,"",B36)</f>
        <v/>
      </c>
      <c r="C59" s="23" t="str">
        <f t="shared" si="5"/>
        <v/>
      </c>
      <c r="D59" s="23" t="str">
        <f t="shared" si="5"/>
        <v/>
      </c>
      <c r="E59" s="23" t="str">
        <f t="shared" si="5"/>
        <v/>
      </c>
      <c r="F59" s="23" t="str">
        <f t="shared" si="5"/>
        <v/>
      </c>
      <c r="G59" s="23" t="str">
        <f t="shared" si="5"/>
        <v>Départem.</v>
      </c>
      <c r="H59" s="23" t="str">
        <f t="shared" si="5"/>
        <v/>
      </c>
      <c r="I59" s="23" t="str">
        <f t="shared" si="5"/>
        <v/>
      </c>
      <c r="K59" s="4" t="str">
        <f>+CONCATENATE(B59,C59,D59,E59,F59,G59,H59,I59)</f>
        <v>Départem.</v>
      </c>
    </row>
    <row r="60" spans="1:17" x14ac:dyDescent="0.25">
      <c r="A60" s="24" t="s">
        <v>64</v>
      </c>
      <c r="B60" s="23" t="str">
        <f t="shared" ref="B60:I60" si="6">+IF(B59="","",B37)</f>
        <v/>
      </c>
      <c r="C60" s="23" t="str">
        <f t="shared" si="6"/>
        <v/>
      </c>
      <c r="D60" s="23" t="str">
        <f t="shared" si="6"/>
        <v/>
      </c>
      <c r="E60" s="23" t="str">
        <f t="shared" si="6"/>
        <v/>
      </c>
      <c r="F60" s="23" t="str">
        <f t="shared" si="6"/>
        <v/>
      </c>
      <c r="G60" s="23" t="str">
        <f t="shared" si="6"/>
        <v>ORANGE</v>
      </c>
      <c r="H60" s="23" t="str">
        <f t="shared" si="6"/>
        <v/>
      </c>
      <c r="I60" s="23" t="str">
        <f t="shared" si="6"/>
        <v/>
      </c>
      <c r="K60" s="4" t="str">
        <f>+CONCATENATE(B60,C60,D60,E60,F60,G60,H60,I60)</f>
        <v>ORANGE</v>
      </c>
      <c r="L60" s="4"/>
    </row>
    <row r="61" spans="1:17" x14ac:dyDescent="0.25">
      <c r="A61" s="5"/>
      <c r="B61" s="5"/>
      <c r="C61" s="5"/>
      <c r="D61" s="5"/>
      <c r="F61" s="3"/>
      <c r="G61" s="2"/>
      <c r="H61" s="4"/>
      <c r="J61" t="str">
        <f>+IF(AND(calcul!J58&gt;499,calcul!J58&lt;700),"pas de niveau","")</f>
        <v/>
      </c>
      <c r="K61" t="str">
        <f>+IF(calcul!J58&gt;1700,"Elite","")</f>
        <v/>
      </c>
      <c r="M61" s="4"/>
    </row>
    <row r="62" spans="1:17" x14ac:dyDescent="0.25">
      <c r="A62" s="5"/>
      <c r="B62" s="5"/>
      <c r="C62" s="5"/>
      <c r="D62" s="5"/>
      <c r="F62" s="3"/>
      <c r="G62" s="2"/>
      <c r="H62" s="4"/>
      <c r="J62" s="3"/>
      <c r="K62" t="str">
        <f>+IF(calcul!J58&lt;500,"marcheur","")</f>
        <v/>
      </c>
      <c r="N62" s="4"/>
    </row>
    <row r="63" spans="1:17" x14ac:dyDescent="0.25">
      <c r="B63">
        <v>1</v>
      </c>
      <c r="E63">
        <v>2</v>
      </c>
      <c r="F63">
        <v>3</v>
      </c>
      <c r="G63">
        <v>4</v>
      </c>
      <c r="H63">
        <v>5</v>
      </c>
      <c r="I63">
        <v>6</v>
      </c>
      <c r="J63">
        <v>7</v>
      </c>
      <c r="O63" s="4"/>
    </row>
    <row r="64" spans="1:17" x14ac:dyDescent="0.25">
      <c r="B64">
        <v>7</v>
      </c>
      <c r="C64" t="s">
        <v>70</v>
      </c>
      <c r="D64" t="s">
        <v>71</v>
      </c>
      <c r="E64">
        <v>34</v>
      </c>
      <c r="F64" t="s">
        <v>70</v>
      </c>
      <c r="G64" t="s">
        <v>71</v>
      </c>
      <c r="H64">
        <v>90</v>
      </c>
      <c r="I64" t="s">
        <v>70</v>
      </c>
      <c r="J64" t="s">
        <v>71</v>
      </c>
      <c r="P64" s="4"/>
    </row>
    <row r="65" spans="1:25" x14ac:dyDescent="0.25">
      <c r="A65" s="24" t="s">
        <v>41</v>
      </c>
      <c r="B65">
        <f>+IF(K65=niveau!C14,niveau!C13,0)</f>
        <v>0</v>
      </c>
      <c r="C65">
        <f>IF(B65=0,0,B65)</f>
        <v>0</v>
      </c>
      <c r="D65">
        <f>+C65</f>
        <v>0</v>
      </c>
      <c r="K65">
        <f>+IF(AND(niveau!C14&lt;12.001,niveau!C14&gt;6.99),niveau!C14,0)</f>
        <v>0</v>
      </c>
      <c r="L65">
        <f>+B65</f>
        <v>0</v>
      </c>
      <c r="M65" s="51">
        <f>+M66+12</f>
        <v>1147</v>
      </c>
      <c r="N65" s="50">
        <f>+N66+15</f>
        <v>122</v>
      </c>
      <c r="O65" s="50">
        <f>SUM(L65:L67)+5</f>
        <v>5</v>
      </c>
      <c r="Q65" s="4"/>
    </row>
    <row r="66" spans="1:25" x14ac:dyDescent="0.25">
      <c r="A66" s="24" t="s">
        <v>23</v>
      </c>
      <c r="B66">
        <f>+IF(K66=niveau!C14,niveau!C13,0)</f>
        <v>0</v>
      </c>
      <c r="C66">
        <f>IF(B66=0,+C65-2,B66)</f>
        <v>-2</v>
      </c>
      <c r="D66">
        <f>+D65-10</f>
        <v>-10</v>
      </c>
      <c r="K66">
        <f>+IF(AND(niveau!C14&lt;23.001,niveau!C14&gt;12.01),niveau!C14,0)</f>
        <v>0</v>
      </c>
      <c r="L66">
        <f t="shared" ref="L66:L67" si="7">+B66</f>
        <v>0</v>
      </c>
      <c r="M66" s="51">
        <f>+M67+50</f>
        <v>1135</v>
      </c>
      <c r="N66" s="50">
        <f>+N67+50</f>
        <v>107</v>
      </c>
      <c r="O66" s="50">
        <f>+O65-15</f>
        <v>-10</v>
      </c>
    </row>
    <row r="67" spans="1:25" x14ac:dyDescent="0.25">
      <c r="A67" s="24" t="s">
        <v>24</v>
      </c>
      <c r="B67">
        <f>+IF(K67=niveau!C14,niveau!C13,0)</f>
        <v>0</v>
      </c>
      <c r="C67">
        <f>IF(B67=0,+C66-20,B67)</f>
        <v>-22</v>
      </c>
      <c r="D67">
        <f>+D66-40</f>
        <v>-50</v>
      </c>
      <c r="K67">
        <f>+IF(AND(niveau!C$14&lt;34.001,niveau!C$14&gt;23),niveau!C$14,0)</f>
        <v>0</v>
      </c>
      <c r="L67">
        <f t="shared" si="7"/>
        <v>0</v>
      </c>
      <c r="M67" s="18">
        <f>+M68+50</f>
        <v>1085</v>
      </c>
      <c r="N67">
        <f>+N68+50</f>
        <v>57</v>
      </c>
      <c r="O67">
        <f>+O66-50</f>
        <v>-60</v>
      </c>
    </row>
    <row r="68" spans="1:25" x14ac:dyDescent="0.25">
      <c r="A68" s="24" t="s">
        <v>25</v>
      </c>
      <c r="C68">
        <f>+C67-50</f>
        <v>-72</v>
      </c>
      <c r="D68">
        <f>+D67-80</f>
        <v>-130</v>
      </c>
      <c r="E68">
        <f>+IF(K68=niveau!C$14,niveau!C$13,0)</f>
        <v>0</v>
      </c>
      <c r="F68">
        <f>IF(E68=0,0,E68)</f>
        <v>0</v>
      </c>
      <c r="G68">
        <f>+F68</f>
        <v>0</v>
      </c>
      <c r="K68">
        <f>+IF(AND(niveau!C$14&lt;45.001,niveau!C$14&gt;34),niveau!C$14,0)</f>
        <v>0</v>
      </c>
      <c r="L68">
        <f>+E68</f>
        <v>0</v>
      </c>
      <c r="M68" s="51">
        <f>+M69+10</f>
        <v>1035</v>
      </c>
      <c r="N68" s="50">
        <f>SUM(L68:L72)+7</f>
        <v>7</v>
      </c>
      <c r="O68" s="50">
        <f>+O67-47</f>
        <v>-107</v>
      </c>
    </row>
    <row r="69" spans="1:25" x14ac:dyDescent="0.25">
      <c r="A69" s="24" t="s">
        <v>26</v>
      </c>
      <c r="C69">
        <f t="shared" ref="C69:C82" si="8">+C68-8</f>
        <v>-80</v>
      </c>
      <c r="D69">
        <f t="shared" ref="D69:D82" si="9">+D68-20</f>
        <v>-150</v>
      </c>
      <c r="E69">
        <f>+IF(K69=niveau!C$14,niveau!C$13,0)</f>
        <v>0</v>
      </c>
      <c r="F69">
        <f>IF(E69=0,+F68-5,E69)</f>
        <v>-5</v>
      </c>
      <c r="G69">
        <f t="shared" ref="G69:G82" si="10">+F69-130</f>
        <v>-135</v>
      </c>
      <c r="K69">
        <f>+IF(AND(niveau!C$14&lt;56.001,niveau!C$14&gt;45),niveau!C$14,0)</f>
        <v>0</v>
      </c>
      <c r="L69">
        <f t="shared" ref="L69:L72" si="11">+E69</f>
        <v>0</v>
      </c>
      <c r="M69" s="18">
        <f>+M70+10</f>
        <v>1025</v>
      </c>
      <c r="N69">
        <f>+N68-12</f>
        <v>-5</v>
      </c>
      <c r="O69">
        <f>+O68-15</f>
        <v>-122</v>
      </c>
    </row>
    <row r="70" spans="1:25" x14ac:dyDescent="0.25">
      <c r="A70" s="24" t="s">
        <v>27</v>
      </c>
      <c r="C70">
        <f t="shared" si="8"/>
        <v>-88</v>
      </c>
      <c r="D70">
        <f t="shared" si="9"/>
        <v>-170</v>
      </c>
      <c r="E70">
        <f>+IF(K70=niveau!C$14,niveau!C$13,0)</f>
        <v>0</v>
      </c>
      <c r="F70">
        <f>IF(E70=0,+F69-5,E70)</f>
        <v>-10</v>
      </c>
      <c r="G70">
        <f t="shared" si="10"/>
        <v>-140</v>
      </c>
      <c r="K70">
        <f>+IF(AND(niveau!C$14&lt;67.001,niveau!C$14&gt;56),niveau!C$14,0)</f>
        <v>0</v>
      </c>
      <c r="L70">
        <f t="shared" si="11"/>
        <v>0</v>
      </c>
      <c r="M70" s="51">
        <f>+M71+10</f>
        <v>1015</v>
      </c>
      <c r="N70" s="50">
        <f>+N69-10</f>
        <v>-15</v>
      </c>
      <c r="O70" s="50">
        <f>+O69-13</f>
        <v>-135</v>
      </c>
    </row>
    <row r="71" spans="1:25" x14ac:dyDescent="0.25">
      <c r="A71" s="24" t="s">
        <v>28</v>
      </c>
      <c r="C71">
        <f t="shared" si="8"/>
        <v>-96</v>
      </c>
      <c r="D71">
        <f t="shared" si="9"/>
        <v>-190</v>
      </c>
      <c r="E71">
        <f>+IF(K71=niveau!C$14,niveau!C$13,0)</f>
        <v>0</v>
      </c>
      <c r="F71">
        <f>IF(E71=0,+F70-5,E71)</f>
        <v>-15</v>
      </c>
      <c r="G71">
        <f t="shared" si="10"/>
        <v>-145</v>
      </c>
      <c r="K71">
        <f>+IF(AND(niveau!C$14&lt;79.001,niveau!C$14&gt;67),niveau!C$14,0)</f>
        <v>0</v>
      </c>
      <c r="L71">
        <f t="shared" si="11"/>
        <v>0</v>
      </c>
      <c r="M71" s="18">
        <f>+M72+8</f>
        <v>1005</v>
      </c>
      <c r="N71">
        <f>+N70-10</f>
        <v>-25</v>
      </c>
      <c r="O71">
        <f>+O70-6</f>
        <v>-141</v>
      </c>
    </row>
    <row r="72" spans="1:25" x14ac:dyDescent="0.25">
      <c r="A72" s="24" t="s">
        <v>29</v>
      </c>
      <c r="C72">
        <f t="shared" si="8"/>
        <v>-104</v>
      </c>
      <c r="D72">
        <f t="shared" si="9"/>
        <v>-210</v>
      </c>
      <c r="E72">
        <f>+IF(K72=niveau!C$14,niveau!C$13,0)</f>
        <v>0</v>
      </c>
      <c r="F72">
        <f>IF(E72=0,+F71-5,E72)</f>
        <v>-20</v>
      </c>
      <c r="G72">
        <f t="shared" si="10"/>
        <v>-150</v>
      </c>
      <c r="K72">
        <f>+IF(AND(niveau!C$14&lt;90.001,niveau!C$14&gt;79),niveau!C$14,0)</f>
        <v>0</v>
      </c>
      <c r="L72">
        <f t="shared" si="11"/>
        <v>0</v>
      </c>
      <c r="M72" s="18">
        <f>+M73+10</f>
        <v>997</v>
      </c>
      <c r="N72">
        <f>+N71-7</f>
        <v>-32</v>
      </c>
      <c r="O72">
        <f t="shared" ref="O72" si="12">+O71-5</f>
        <v>-146</v>
      </c>
    </row>
    <row r="73" spans="1:25" x14ac:dyDescent="0.25">
      <c r="A73" s="24" t="s">
        <v>30</v>
      </c>
      <c r="C73">
        <f t="shared" si="8"/>
        <v>-112</v>
      </c>
      <c r="D73">
        <f t="shared" si="9"/>
        <v>-230</v>
      </c>
      <c r="F73">
        <f t="shared" ref="F73:F82" si="13">+F72-5</f>
        <v>-25</v>
      </c>
      <c r="G73">
        <f t="shared" si="10"/>
        <v>-155</v>
      </c>
      <c r="H73">
        <f>+IF(K73=niveau!C$14,niveau!C$13,0)</f>
        <v>0</v>
      </c>
      <c r="I73">
        <f>IF(H73=0,0,H73)</f>
        <v>0</v>
      </c>
      <c r="J73">
        <f>+I73</f>
        <v>0</v>
      </c>
      <c r="K73">
        <f>+IF(AND(niveau!C$14&lt;101.001,niveau!C$14&gt;90),niveau!C$14,0)</f>
        <v>0</v>
      </c>
      <c r="L73">
        <f>+H73</f>
        <v>0</v>
      </c>
      <c r="M73" s="18">
        <f>SUM(L73:L81)+7</f>
        <v>987</v>
      </c>
      <c r="N73">
        <f>+N72-6</f>
        <v>-38</v>
      </c>
      <c r="O73">
        <f>+O72-4</f>
        <v>-150</v>
      </c>
    </row>
    <row r="74" spans="1:25" x14ac:dyDescent="0.25">
      <c r="A74" s="24" t="s">
        <v>0</v>
      </c>
      <c r="C74">
        <f t="shared" si="8"/>
        <v>-120</v>
      </c>
      <c r="D74">
        <f t="shared" si="9"/>
        <v>-250</v>
      </c>
      <c r="F74">
        <f t="shared" si="13"/>
        <v>-30</v>
      </c>
      <c r="G74">
        <f t="shared" si="10"/>
        <v>-160</v>
      </c>
      <c r="H74">
        <f>+IF(K74=niveau!C$14,niveau!C$13,0)</f>
        <v>0</v>
      </c>
      <c r="I74">
        <f t="shared" ref="I74:I81" si="14">IF(H74=0,+I73-1,H74)</f>
        <v>-1</v>
      </c>
      <c r="J74">
        <f t="shared" ref="J74:J82" si="15">+I74-60</f>
        <v>-61</v>
      </c>
      <c r="K74">
        <f>+IF(AND(niveau!C$14&lt;120.001,niveau!C$14&gt;101),niveau!C$14,0)</f>
        <v>0</v>
      </c>
      <c r="L74">
        <f t="shared" ref="L74:L81" si="16">+H74</f>
        <v>0</v>
      </c>
      <c r="M74" s="18">
        <f>+M73-2</f>
        <v>985</v>
      </c>
      <c r="N74">
        <f>+N73-3</f>
        <v>-41</v>
      </c>
      <c r="O74">
        <f>+O73-4</f>
        <v>-154</v>
      </c>
    </row>
    <row r="75" spans="1:25" x14ac:dyDescent="0.25">
      <c r="A75" s="24" t="s">
        <v>1</v>
      </c>
      <c r="C75">
        <f t="shared" si="8"/>
        <v>-128</v>
      </c>
      <c r="D75">
        <f t="shared" si="9"/>
        <v>-270</v>
      </c>
      <c r="F75">
        <f t="shared" si="13"/>
        <v>-35</v>
      </c>
      <c r="G75">
        <f t="shared" si="10"/>
        <v>-165</v>
      </c>
      <c r="H75">
        <f>+IF(K75=niveau!C$14,niveau!C$13,0)</f>
        <v>0</v>
      </c>
      <c r="I75">
        <f t="shared" si="14"/>
        <v>-2</v>
      </c>
      <c r="J75">
        <f t="shared" si="15"/>
        <v>-62</v>
      </c>
      <c r="K75">
        <f>+IF(AND(niveau!C$14&lt;140.001,niveau!C$14&gt;120),niveau!C$14,0)</f>
        <v>0</v>
      </c>
      <c r="L75">
        <f t="shared" si="16"/>
        <v>0</v>
      </c>
      <c r="M75" s="18">
        <f t="shared" ref="M75:M81" si="17">+M74-1</f>
        <v>984</v>
      </c>
      <c r="N75">
        <f>+N74-3</f>
        <v>-44</v>
      </c>
      <c r="O75">
        <f>+O74-3</f>
        <v>-157</v>
      </c>
    </row>
    <row r="76" spans="1:25" x14ac:dyDescent="0.25">
      <c r="A76" s="24" t="s">
        <v>2</v>
      </c>
      <c r="C76">
        <f t="shared" si="8"/>
        <v>-136</v>
      </c>
      <c r="D76">
        <f t="shared" si="9"/>
        <v>-290</v>
      </c>
      <c r="F76">
        <f t="shared" si="13"/>
        <v>-40</v>
      </c>
      <c r="G76">
        <f t="shared" si="10"/>
        <v>-170</v>
      </c>
      <c r="H76">
        <f>+IF(K76=niveau!C$14,niveau!C$13,0)</f>
        <v>0</v>
      </c>
      <c r="I76">
        <f t="shared" si="14"/>
        <v>-3</v>
      </c>
      <c r="J76">
        <f t="shared" si="15"/>
        <v>-63</v>
      </c>
      <c r="K76">
        <f>+IF(AND(niveau!C$14&lt;160.001,niveau!C$14&gt;140),niveau!C$14,0)</f>
        <v>0</v>
      </c>
      <c r="L76">
        <f t="shared" si="16"/>
        <v>0</v>
      </c>
      <c r="M76" s="18">
        <f t="shared" si="17"/>
        <v>983</v>
      </c>
      <c r="N76">
        <f t="shared" ref="N76:N77" si="18">+N75-3</f>
        <v>-47</v>
      </c>
      <c r="O76">
        <f>+O75-3</f>
        <v>-160</v>
      </c>
    </row>
    <row r="77" spans="1:25" x14ac:dyDescent="0.25">
      <c r="A77" s="24" t="s">
        <v>3</v>
      </c>
      <c r="C77">
        <f t="shared" si="8"/>
        <v>-144</v>
      </c>
      <c r="D77">
        <f t="shared" si="9"/>
        <v>-310</v>
      </c>
      <c r="F77">
        <f t="shared" si="13"/>
        <v>-45</v>
      </c>
      <c r="G77">
        <f t="shared" si="10"/>
        <v>-175</v>
      </c>
      <c r="H77">
        <f>+IF(K77=niveau!C$14,niveau!C$13,0)</f>
        <v>0</v>
      </c>
      <c r="I77">
        <f t="shared" si="14"/>
        <v>-4</v>
      </c>
      <c r="J77">
        <f t="shared" si="15"/>
        <v>-64</v>
      </c>
      <c r="K77">
        <f>+IF(AND(niveau!C$14&lt;180.001,niveau!C$14&gt;160),niveau!C$14,0)</f>
        <v>0</v>
      </c>
      <c r="L77">
        <f t="shared" si="16"/>
        <v>0</v>
      </c>
      <c r="M77" s="18">
        <f t="shared" si="17"/>
        <v>982</v>
      </c>
      <c r="N77">
        <f t="shared" si="18"/>
        <v>-50</v>
      </c>
      <c r="O77">
        <f>+O76-3</f>
        <v>-163</v>
      </c>
    </row>
    <row r="78" spans="1:25" x14ac:dyDescent="0.25">
      <c r="A78" s="24" t="s">
        <v>4</v>
      </c>
      <c r="C78">
        <f t="shared" si="8"/>
        <v>-152</v>
      </c>
      <c r="D78">
        <f t="shared" si="9"/>
        <v>-330</v>
      </c>
      <c r="F78">
        <f t="shared" si="13"/>
        <v>-50</v>
      </c>
      <c r="G78">
        <f t="shared" si="10"/>
        <v>-180</v>
      </c>
      <c r="H78">
        <f>+IF(K78=niveau!C$14,niveau!C$13,0)</f>
        <v>0</v>
      </c>
      <c r="I78">
        <f t="shared" si="14"/>
        <v>-5</v>
      </c>
      <c r="J78">
        <f t="shared" si="15"/>
        <v>-65</v>
      </c>
      <c r="K78">
        <f>+IF(AND(niveau!C$14&lt;200.001,niveau!C$14&gt;180),niveau!C$14,0)</f>
        <v>0</v>
      </c>
      <c r="L78">
        <f t="shared" si="16"/>
        <v>0</v>
      </c>
      <c r="M78" s="18">
        <f t="shared" si="17"/>
        <v>981</v>
      </c>
      <c r="N78">
        <f>+N77-3</f>
        <v>-53</v>
      </c>
      <c r="O78">
        <f>+O77-2</f>
        <v>-165</v>
      </c>
      <c r="Q78" s="5"/>
      <c r="R78" s="5"/>
      <c r="S78" s="5"/>
      <c r="T78" s="5"/>
      <c r="U78" s="5"/>
      <c r="V78" s="5"/>
      <c r="W78" s="5"/>
      <c r="X78" s="5"/>
      <c r="Y78" s="9"/>
    </row>
    <row r="79" spans="1:25" x14ac:dyDescent="0.25">
      <c r="A79" s="24" t="s">
        <v>31</v>
      </c>
      <c r="C79">
        <f t="shared" si="8"/>
        <v>-160</v>
      </c>
      <c r="D79">
        <f t="shared" si="9"/>
        <v>-350</v>
      </c>
      <c r="F79">
        <f t="shared" si="13"/>
        <v>-55</v>
      </c>
      <c r="G79">
        <f t="shared" si="10"/>
        <v>-185</v>
      </c>
      <c r="H79">
        <f>+IF(K79=niveau!C$14,niveau!C$13,0)</f>
        <v>0</v>
      </c>
      <c r="I79">
        <f t="shared" si="14"/>
        <v>-6</v>
      </c>
      <c r="J79">
        <f t="shared" si="15"/>
        <v>-66</v>
      </c>
      <c r="K79">
        <f>+IF(AND(niveau!C$14&lt;220.001,niveau!C$14&gt;200),niveau!C$14,0)</f>
        <v>0</v>
      </c>
      <c r="L79">
        <f t="shared" si="16"/>
        <v>0</v>
      </c>
      <c r="M79" s="51">
        <f t="shared" si="17"/>
        <v>980</v>
      </c>
      <c r="N79" s="50">
        <f t="shared" ref="N79:N81" si="19">+N78-1</f>
        <v>-54</v>
      </c>
      <c r="O79" s="50">
        <f t="shared" ref="O79:O81" si="20">+O78-1</f>
        <v>-166</v>
      </c>
      <c r="Y79" s="7"/>
    </row>
    <row r="80" spans="1:25" x14ac:dyDescent="0.25">
      <c r="A80" s="24" t="s">
        <v>32</v>
      </c>
      <c r="C80">
        <f t="shared" si="8"/>
        <v>-168</v>
      </c>
      <c r="D80">
        <f t="shared" si="9"/>
        <v>-370</v>
      </c>
      <c r="F80">
        <f t="shared" si="13"/>
        <v>-60</v>
      </c>
      <c r="G80">
        <f t="shared" si="10"/>
        <v>-190</v>
      </c>
      <c r="H80">
        <f>+IF(K80=niveau!C$14,niveau!C$13,0)</f>
        <v>980</v>
      </c>
      <c r="I80">
        <f t="shared" si="14"/>
        <v>980</v>
      </c>
      <c r="J80">
        <f t="shared" si="15"/>
        <v>920</v>
      </c>
      <c r="K80">
        <f>+IF(AND(niveau!C$14&lt;240.001,niveau!C$14&gt;220),niveau!C$14,0)</f>
        <v>238.07584</v>
      </c>
      <c r="L80">
        <f t="shared" si="16"/>
        <v>980</v>
      </c>
      <c r="M80" s="18">
        <f t="shared" si="17"/>
        <v>979</v>
      </c>
      <c r="N80">
        <f t="shared" si="19"/>
        <v>-55</v>
      </c>
      <c r="O80">
        <f t="shared" si="20"/>
        <v>-167</v>
      </c>
      <c r="Y80" s="8"/>
    </row>
    <row r="81" spans="1:25" x14ac:dyDescent="0.25">
      <c r="A81" s="24" t="s">
        <v>38</v>
      </c>
      <c r="C81">
        <f t="shared" si="8"/>
        <v>-176</v>
      </c>
      <c r="D81">
        <f t="shared" si="9"/>
        <v>-390</v>
      </c>
      <c r="F81">
        <f t="shared" si="13"/>
        <v>-65</v>
      </c>
      <c r="G81">
        <f t="shared" si="10"/>
        <v>-195</v>
      </c>
      <c r="H81">
        <f>+IF(K81=niveau!C$14,niveau!C$13,0)</f>
        <v>0</v>
      </c>
      <c r="I81">
        <f t="shared" si="14"/>
        <v>979</v>
      </c>
      <c r="J81">
        <f t="shared" si="15"/>
        <v>919</v>
      </c>
      <c r="K81">
        <f>+IF(AND(niveau!C$14&lt;260.001,niveau!C$14&gt;240),niveau!C$14,0)</f>
        <v>0</v>
      </c>
      <c r="L81">
        <f t="shared" si="16"/>
        <v>0</v>
      </c>
      <c r="M81" s="18">
        <f t="shared" si="17"/>
        <v>978</v>
      </c>
      <c r="N81">
        <f t="shared" si="19"/>
        <v>-56</v>
      </c>
      <c r="O81">
        <f t="shared" si="20"/>
        <v>-168</v>
      </c>
      <c r="Y81" s="8"/>
    </row>
    <row r="82" spans="1:25" x14ac:dyDescent="0.25">
      <c r="A82" s="24" t="s">
        <v>21</v>
      </c>
      <c r="C82">
        <f t="shared" si="8"/>
        <v>-184</v>
      </c>
      <c r="D82">
        <f t="shared" si="9"/>
        <v>-410</v>
      </c>
      <c r="F82">
        <f t="shared" si="13"/>
        <v>-70</v>
      </c>
      <c r="G82">
        <f t="shared" si="10"/>
        <v>-200</v>
      </c>
      <c r="I82">
        <f>+I81-1</f>
        <v>978</v>
      </c>
      <c r="J82">
        <f t="shared" si="15"/>
        <v>918</v>
      </c>
      <c r="K82">
        <f>+IF(AND(niveau!C$14&lt;292.001,niveau!C$14&gt;260),niveau!C$14,0)</f>
        <v>0</v>
      </c>
      <c r="M82" s="18">
        <f>+M81-1</f>
        <v>977</v>
      </c>
      <c r="Y82" s="8"/>
    </row>
    <row r="83" spans="1:25" x14ac:dyDescent="0.25">
      <c r="M83" s="18"/>
      <c r="Y83" s="8"/>
    </row>
    <row r="84" spans="1:25" x14ac:dyDescent="0.25">
      <c r="B84">
        <f>SUM(B65:B82)</f>
        <v>0</v>
      </c>
      <c r="C84">
        <f>+IF(B84=0,0,1)</f>
        <v>0</v>
      </c>
      <c r="E84">
        <f>SUM(E68:E83)</f>
        <v>0</v>
      </c>
      <c r="F84">
        <f>+IF(E84=0,0,1)</f>
        <v>0</v>
      </c>
      <c r="H84">
        <f>SUM(H73:H83)</f>
        <v>980</v>
      </c>
      <c r="I84">
        <f>+IF(H84=0,0,1)</f>
        <v>1</v>
      </c>
      <c r="M84" s="18"/>
    </row>
    <row r="85" spans="1:25" x14ac:dyDescent="0.25">
      <c r="B85">
        <f>+IF(B84=B65,C67,0)</f>
        <v>-22</v>
      </c>
      <c r="C85">
        <f>+IF(B85&gt;0,12,0)</f>
        <v>0</v>
      </c>
      <c r="D85">
        <f>+IF(B85&gt;0,33.9,0)</f>
        <v>0</v>
      </c>
      <c r="E85">
        <f>+IF(E84=E68,F70,0)</f>
        <v>-10</v>
      </c>
      <c r="F85">
        <f>+IF(E85&gt;0,45,0)</f>
        <v>0</v>
      </c>
      <c r="G85">
        <f>+IF(E85&gt;0,66.9,0)</f>
        <v>0</v>
      </c>
      <c r="H85">
        <f>+IF(H84=H73,I76,0)</f>
        <v>0</v>
      </c>
      <c r="I85">
        <f>+IF(H85&gt;0,101,0)</f>
        <v>0</v>
      </c>
      <c r="J85">
        <f>+IF(H85&gt;0,159,0)</f>
        <v>0</v>
      </c>
      <c r="M85" s="19"/>
    </row>
    <row r="86" spans="1:25" x14ac:dyDescent="0.25">
      <c r="B86">
        <f>+IF(B84=B66,C68,0)</f>
        <v>-72</v>
      </c>
      <c r="C86">
        <f>+IF(B86&gt;0,23,0)</f>
        <v>0</v>
      </c>
      <c r="D86">
        <f>+IF(B86&gt;0,44.9,0)</f>
        <v>0</v>
      </c>
      <c r="E86">
        <f>+IF(E84=E69,F71,0)</f>
        <v>-15</v>
      </c>
      <c r="F86">
        <f>+IF(E86&gt;0,56,0)</f>
        <v>0</v>
      </c>
      <c r="G86">
        <f>+IF(E86&gt;0,78.9,0)</f>
        <v>0</v>
      </c>
      <c r="H86">
        <f>+IF(H84=H74,I77,0)</f>
        <v>0</v>
      </c>
      <c r="I86">
        <f>+IF(H86&gt;0,120,0)</f>
        <v>0</v>
      </c>
      <c r="J86">
        <f>+IF(H86&gt;0,179,0)</f>
        <v>0</v>
      </c>
    </row>
    <row r="87" spans="1:25" x14ac:dyDescent="0.25">
      <c r="B87">
        <f>+IF(B84=B67,C69,0)</f>
        <v>-80</v>
      </c>
      <c r="C87">
        <f>+IF(B87&gt;0,34,0)</f>
        <v>0</v>
      </c>
      <c r="D87">
        <f>+IF(B87&gt;0,55.9,0)</f>
        <v>0</v>
      </c>
      <c r="E87">
        <f>+IF(E84=E70,F72,0)</f>
        <v>-20</v>
      </c>
      <c r="F87">
        <f>+IF(E87&gt;0,67,0)</f>
        <v>0</v>
      </c>
      <c r="G87">
        <f>+IF(E87&gt;0,89.9,0)</f>
        <v>0</v>
      </c>
      <c r="H87">
        <f>+IF(H84=H75,I78,0)</f>
        <v>0</v>
      </c>
      <c r="I87">
        <f>+IF(H87&gt;0,140,0)</f>
        <v>0</v>
      </c>
      <c r="J87">
        <f>+IF(H87&gt;0,199,0)</f>
        <v>0</v>
      </c>
      <c r="M87" s="18"/>
    </row>
    <row r="88" spans="1:25" x14ac:dyDescent="0.25">
      <c r="E88">
        <f>+IF(E84=E71,F73,0)</f>
        <v>-25</v>
      </c>
      <c r="F88">
        <f>+IF(E88&gt;0,79,0)</f>
        <v>0</v>
      </c>
      <c r="G88">
        <f>+IF(E88&gt;0,100.9,0)</f>
        <v>0</v>
      </c>
      <c r="H88">
        <f>+IF(H84=H76,I79,0)</f>
        <v>0</v>
      </c>
      <c r="I88">
        <f>+IF(H88&gt;0,160,0)</f>
        <v>0</v>
      </c>
      <c r="J88">
        <f>+IF(H88&gt;0,219,0)</f>
        <v>0</v>
      </c>
      <c r="M88" s="18"/>
    </row>
    <row r="89" spans="1:25" x14ac:dyDescent="0.25">
      <c r="E89">
        <f>+IF(E84=E72,F74,0)</f>
        <v>-30</v>
      </c>
      <c r="F89">
        <f>+IF(E89&gt;0,90,0)</f>
        <v>0</v>
      </c>
      <c r="G89">
        <f>+IF(E89&gt;0,119.9,0)</f>
        <v>0</v>
      </c>
      <c r="H89">
        <f>+IF(H84=H77,I80,0)</f>
        <v>0</v>
      </c>
      <c r="I89">
        <f>+IF(H89&gt;0,180,0)</f>
        <v>0</v>
      </c>
      <c r="J89">
        <f>+IF(H89&gt;0,239,0)</f>
        <v>0</v>
      </c>
      <c r="M89" s="18"/>
    </row>
    <row r="90" spans="1:25" x14ac:dyDescent="0.25">
      <c r="H90">
        <f>+IF(H84=H78,I81,0)</f>
        <v>0</v>
      </c>
      <c r="I90">
        <f>+IF(H90&gt;0,200,0)</f>
        <v>0</v>
      </c>
      <c r="J90">
        <f>+IF(H90&gt;0,259,0)</f>
        <v>0</v>
      </c>
      <c r="M90" s="18"/>
    </row>
    <row r="91" spans="1:25" x14ac:dyDescent="0.25">
      <c r="H91">
        <f>+IF(H84=H79,I82,0)</f>
        <v>0</v>
      </c>
      <c r="I91">
        <f>+IF(H91&gt;0,220,0)</f>
        <v>0</v>
      </c>
      <c r="J91">
        <f>+IF(H91&gt;0,292,0)</f>
        <v>0</v>
      </c>
      <c r="M91" s="18"/>
    </row>
    <row r="92" spans="1:25" x14ac:dyDescent="0.25">
      <c r="B92">
        <f t="shared" ref="B92:J92" si="21">SUM(B85:B91)</f>
        <v>-174</v>
      </c>
      <c r="C92">
        <f t="shared" si="21"/>
        <v>0</v>
      </c>
      <c r="D92">
        <f t="shared" si="21"/>
        <v>0</v>
      </c>
      <c r="E92">
        <f t="shared" si="21"/>
        <v>-100</v>
      </c>
      <c r="F92">
        <f t="shared" si="21"/>
        <v>0</v>
      </c>
      <c r="G92">
        <f t="shared" si="21"/>
        <v>0</v>
      </c>
      <c r="H92">
        <f t="shared" si="21"/>
        <v>0</v>
      </c>
      <c r="I92">
        <f t="shared" si="21"/>
        <v>0</v>
      </c>
      <c r="J92">
        <f t="shared" si="21"/>
        <v>0</v>
      </c>
      <c r="M92" s="18"/>
    </row>
    <row r="93" spans="1:25" x14ac:dyDescent="0.25">
      <c r="B93">
        <f t="shared" ref="B93:J93" si="22">+IF(B92&gt;0,B92,0)</f>
        <v>0</v>
      </c>
      <c r="C93">
        <f t="shared" si="22"/>
        <v>0</v>
      </c>
      <c r="D93">
        <f t="shared" si="22"/>
        <v>0</v>
      </c>
      <c r="E93">
        <f t="shared" si="22"/>
        <v>0</v>
      </c>
      <c r="F93">
        <f t="shared" si="22"/>
        <v>0</v>
      </c>
      <c r="G93">
        <f t="shared" si="22"/>
        <v>0</v>
      </c>
      <c r="H93">
        <f t="shared" si="22"/>
        <v>0</v>
      </c>
      <c r="I93">
        <f t="shared" si="22"/>
        <v>0</v>
      </c>
      <c r="J93">
        <f t="shared" si="22"/>
        <v>0</v>
      </c>
      <c r="K93">
        <f>+B93+E93+H93</f>
        <v>0</v>
      </c>
      <c r="M93" s="19"/>
    </row>
    <row r="94" spans="1:25" x14ac:dyDescent="0.25">
      <c r="J94" t="s">
        <v>75</v>
      </c>
      <c r="K94">
        <f>+C93+F93+I93</f>
        <v>0</v>
      </c>
    </row>
    <row r="95" spans="1:25" x14ac:dyDescent="0.25">
      <c r="J95" t="s">
        <v>75</v>
      </c>
      <c r="K95">
        <f>+D93+G93+J93</f>
        <v>0</v>
      </c>
      <c r="M95" s="18"/>
    </row>
    <row r="96" spans="1:25" x14ac:dyDescent="0.25">
      <c r="M96" s="18"/>
    </row>
    <row r="97" spans="3:13" x14ac:dyDescent="0.25">
      <c r="C97" s="18"/>
      <c r="D97" s="18"/>
      <c r="E97" s="19"/>
      <c r="F97" s="19"/>
      <c r="G97" s="19"/>
      <c r="H97" s="19"/>
      <c r="I97" s="19"/>
      <c r="J97" s="19"/>
      <c r="K97" s="19"/>
      <c r="L97" s="18"/>
      <c r="M97" s="18"/>
    </row>
    <row r="98" spans="3:13" x14ac:dyDescent="0.25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3:13" x14ac:dyDescent="0.25">
      <c r="C99" s="18"/>
      <c r="D99" s="18"/>
      <c r="E99" s="19"/>
      <c r="F99" s="19"/>
      <c r="G99" s="19"/>
      <c r="H99" s="19"/>
      <c r="I99" s="19"/>
      <c r="J99" s="19"/>
      <c r="K99" s="19"/>
      <c r="L99" s="18"/>
      <c r="M99" s="18"/>
    </row>
    <row r="100" spans="3:13" x14ac:dyDescent="0.25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3:13" x14ac:dyDescent="0.25">
      <c r="C101" s="18"/>
      <c r="D101" s="18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3:13" x14ac:dyDescent="0.25">
      <c r="C102" s="18"/>
    </row>
    <row r="103" spans="3:13" x14ac:dyDescent="0.25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3:13" x14ac:dyDescent="0.25">
      <c r="C104" s="20"/>
      <c r="D104" s="18"/>
      <c r="E104" s="21"/>
      <c r="F104" s="21"/>
      <c r="G104" s="21"/>
      <c r="H104" s="21"/>
      <c r="I104" s="21"/>
      <c r="J104" s="21"/>
      <c r="K104" s="21"/>
      <c r="L104" s="18"/>
      <c r="M104" s="18"/>
    </row>
    <row r="105" spans="3:13" x14ac:dyDescent="0.25">
      <c r="C105" s="20"/>
      <c r="D105" s="18"/>
      <c r="E105" s="21"/>
      <c r="F105" s="21"/>
      <c r="G105" s="21"/>
      <c r="H105" s="21"/>
      <c r="I105" s="21"/>
      <c r="J105" s="21"/>
      <c r="K105" s="21"/>
      <c r="L105" s="18"/>
      <c r="M105" s="18"/>
    </row>
    <row r="106" spans="3:13" x14ac:dyDescent="0.25">
      <c r="C106" s="20"/>
      <c r="D106" s="18"/>
      <c r="E106" s="20"/>
      <c r="F106" s="20"/>
      <c r="G106" s="20"/>
      <c r="H106" s="20"/>
      <c r="I106" s="20"/>
      <c r="J106" s="20"/>
      <c r="K106" s="20"/>
      <c r="L106" s="18"/>
      <c r="M106" s="18"/>
    </row>
    <row r="107" spans="3:13" x14ac:dyDescent="0.25">
      <c r="C107" s="18"/>
      <c r="D107" s="18"/>
      <c r="E107" s="20"/>
      <c r="F107" s="20"/>
      <c r="G107" s="20"/>
      <c r="H107" s="20"/>
      <c r="I107" s="20"/>
      <c r="J107" s="20"/>
      <c r="K107" s="20"/>
      <c r="L107" s="18"/>
      <c r="M107" s="18"/>
    </row>
    <row r="108" spans="3:13" x14ac:dyDescent="0.25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3:13" x14ac:dyDescent="0.25">
      <c r="C109" s="18"/>
      <c r="D109" s="18"/>
      <c r="E109" s="19"/>
      <c r="F109" s="19"/>
      <c r="G109" s="19"/>
      <c r="H109" s="19"/>
      <c r="I109" s="19"/>
      <c r="J109" s="19"/>
      <c r="K109" s="19"/>
      <c r="L109" s="18"/>
      <c r="M109" s="18"/>
    </row>
    <row r="110" spans="3:13" x14ac:dyDescent="0.25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3:13" x14ac:dyDescent="0.25">
      <c r="C111" s="18"/>
      <c r="D111" s="18"/>
      <c r="E111" s="20"/>
      <c r="F111" s="20"/>
      <c r="G111" s="20"/>
      <c r="H111" s="20"/>
      <c r="I111" s="20"/>
      <c r="J111" s="20"/>
      <c r="K111" s="20"/>
      <c r="L111" s="20"/>
      <c r="M111" s="20"/>
    </row>
    <row r="112" spans="3:13" x14ac:dyDescent="0.25">
      <c r="C112" s="18"/>
    </row>
    <row r="114" spans="3:13" x14ac:dyDescent="0.25">
      <c r="C114" s="18"/>
    </row>
    <row r="115" spans="3:13" x14ac:dyDescent="0.25">
      <c r="C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7" spans="3:13" x14ac:dyDescent="0.25">
      <c r="C117" s="22"/>
      <c r="E117" s="18"/>
      <c r="F117" s="18"/>
      <c r="G117" s="18"/>
      <c r="H117" s="18"/>
      <c r="I117" s="18"/>
      <c r="J117" s="18"/>
      <c r="K117" s="18"/>
      <c r="L117" s="18"/>
      <c r="M117" s="18"/>
    </row>
    <row r="119" spans="3:13" x14ac:dyDescent="0.25">
      <c r="F119" s="18"/>
      <c r="G119" s="18"/>
      <c r="H119" s="18"/>
      <c r="I119" s="18"/>
      <c r="J119" s="18"/>
      <c r="K119" s="18"/>
      <c r="L119" s="18"/>
      <c r="M119" s="18"/>
    </row>
    <row r="120" spans="3:13" x14ac:dyDescent="0.25">
      <c r="C120" s="22"/>
    </row>
    <row r="121" spans="3:13" x14ac:dyDescent="0.25">
      <c r="F121" s="1"/>
      <c r="G121" s="1"/>
      <c r="H121" s="1"/>
      <c r="I121" s="1"/>
      <c r="J121" s="1"/>
      <c r="K121" s="1"/>
      <c r="L121" s="1"/>
      <c r="M121" s="1"/>
    </row>
    <row r="122" spans="3:13" x14ac:dyDescent="0.25">
      <c r="F122" s="1"/>
      <c r="G122" s="1"/>
      <c r="H122" s="1"/>
      <c r="I122" s="1"/>
      <c r="J122" s="1"/>
      <c r="K122" s="1"/>
      <c r="L122" s="1"/>
      <c r="M122" s="1"/>
    </row>
    <row r="123" spans="3:13" x14ac:dyDescent="0.25">
      <c r="F123" s="1"/>
      <c r="G123" s="1"/>
      <c r="H123" s="1"/>
      <c r="I123" s="1"/>
      <c r="J123" s="1"/>
      <c r="K123" s="1"/>
      <c r="L123" s="1"/>
      <c r="M123" s="1"/>
    </row>
    <row r="124" spans="3:13" x14ac:dyDescent="0.25">
      <c r="F124" s="1"/>
      <c r="G124" s="1"/>
      <c r="H124" s="1"/>
      <c r="I124" s="1"/>
      <c r="J124" s="1"/>
      <c r="K124" s="1"/>
      <c r="L124" s="1"/>
      <c r="M124" s="1"/>
    </row>
    <row r="125" spans="3:13" x14ac:dyDescent="0.25">
      <c r="F125" s="5"/>
      <c r="G125" s="5"/>
      <c r="H125" s="5"/>
      <c r="I125" s="5"/>
      <c r="J125" s="5"/>
      <c r="K125" s="5"/>
      <c r="L125" s="5"/>
      <c r="M125" s="5"/>
    </row>
    <row r="128" spans="3:13" x14ac:dyDescent="0.25">
      <c r="F128" s="2"/>
      <c r="G128" s="2"/>
      <c r="H128" s="2"/>
      <c r="I128" s="2"/>
      <c r="J128" s="2"/>
      <c r="K128" s="2"/>
      <c r="L128" s="2"/>
      <c r="M128" s="2"/>
    </row>
    <row r="129" spans="6:13" x14ac:dyDescent="0.25">
      <c r="F129" s="2"/>
      <c r="G129" s="2"/>
      <c r="H129" s="2"/>
      <c r="I129" s="2"/>
      <c r="J129" s="2"/>
      <c r="K129" s="2"/>
      <c r="L129" s="2"/>
      <c r="M129" s="2"/>
    </row>
    <row r="130" spans="6:13" x14ac:dyDescent="0.25">
      <c r="F130" s="2"/>
      <c r="G130" s="2"/>
      <c r="H130" s="2"/>
      <c r="I130" s="2"/>
      <c r="J130" s="2"/>
      <c r="K130" s="2"/>
      <c r="L130" s="2"/>
      <c r="M130" s="2"/>
    </row>
    <row r="131" spans="6:13" x14ac:dyDescent="0.25">
      <c r="F131" s="2"/>
      <c r="G131" s="2"/>
      <c r="H131" s="2"/>
      <c r="I131" s="2"/>
      <c r="J131" s="2"/>
      <c r="K131" s="2"/>
      <c r="L131" s="2"/>
      <c r="M131" s="2"/>
    </row>
    <row r="132" spans="6:13" x14ac:dyDescent="0.25">
      <c r="F132" s="2"/>
      <c r="G132" s="2"/>
      <c r="H132" s="2"/>
      <c r="I132" s="2"/>
      <c r="J132" s="2"/>
      <c r="K132" s="2"/>
      <c r="L132" s="2"/>
      <c r="M132" s="2"/>
    </row>
    <row r="138" spans="6:13" x14ac:dyDescent="0.25">
      <c r="J138" s="2"/>
    </row>
    <row r="139" spans="6:13" x14ac:dyDescent="0.25">
      <c r="J139" s="2"/>
    </row>
    <row r="140" spans="6:13" x14ac:dyDescent="0.25">
      <c r="J140" s="2"/>
    </row>
    <row r="141" spans="6:13" x14ac:dyDescent="0.25">
      <c r="J141" s="2"/>
    </row>
    <row r="142" spans="6:13" x14ac:dyDescent="0.25">
      <c r="J142" s="2"/>
    </row>
    <row r="143" spans="6:13" x14ac:dyDescent="0.25">
      <c r="J143" s="2"/>
    </row>
    <row r="144" spans="6:13" x14ac:dyDescent="0.25">
      <c r="J144" s="2"/>
    </row>
    <row r="145" spans="10:10" x14ac:dyDescent="0.25">
      <c r="J145" s="2"/>
    </row>
    <row r="146" spans="10:10" x14ac:dyDescent="0.25">
      <c r="J146" s="2"/>
    </row>
    <row r="147" spans="10:10" x14ac:dyDescent="0.25">
      <c r="J147" s="2"/>
    </row>
    <row r="148" spans="10:10" x14ac:dyDescent="0.25">
      <c r="J148" s="2"/>
    </row>
    <row r="149" spans="10:10" x14ac:dyDescent="0.25">
      <c r="J149" s="2"/>
    </row>
    <row r="150" spans="10:10" x14ac:dyDescent="0.25">
      <c r="J150" s="2"/>
    </row>
    <row r="151" spans="10:10" x14ac:dyDescent="0.25">
      <c r="J151" s="2"/>
    </row>
    <row r="152" spans="10:10" x14ac:dyDescent="0.25">
      <c r="J152" s="2">
        <f>+calcul!B56-calcul!B47</f>
        <v>1.1884787472035787E-3</v>
      </c>
    </row>
    <row r="153" spans="10:10" x14ac:dyDescent="0.25">
      <c r="J153" s="2">
        <f>+J152/8</f>
        <v>1.4855984340044734E-4</v>
      </c>
    </row>
  </sheetData>
  <sheetProtection password="9ED0" sheet="1" objects="1" scenarios="1"/>
  <mergeCells count="4">
    <mergeCell ref="A2:B3"/>
    <mergeCell ref="B57:I57"/>
    <mergeCell ref="B34:I34"/>
    <mergeCell ref="B38:I3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5"/>
  <sheetViews>
    <sheetView workbookViewId="0">
      <selection activeCell="C3" sqref="C3"/>
    </sheetView>
  </sheetViews>
  <sheetFormatPr baseColWidth="10" defaultRowHeight="15" x14ac:dyDescent="0.25"/>
  <cols>
    <col min="2" max="2" width="28.85546875" customWidth="1"/>
    <col min="3" max="3" width="35.85546875" customWidth="1"/>
    <col min="5" max="5" width="30" customWidth="1"/>
    <col min="6" max="6" width="5.7109375" customWidth="1"/>
    <col min="7" max="8" width="5" customWidth="1"/>
    <col min="9" max="9" width="5.28515625" customWidth="1"/>
    <col min="10" max="10" width="5" customWidth="1"/>
    <col min="11" max="11" width="6.42578125" customWidth="1"/>
    <col min="12" max="12" width="8.42578125" customWidth="1"/>
    <col min="13" max="13" width="8.5703125" customWidth="1"/>
    <col min="14" max="14" width="8.140625" bestFit="1" customWidth="1"/>
    <col min="25" max="25" width="10.85546875" customWidth="1"/>
  </cols>
  <sheetData>
    <row r="1" spans="2:33" ht="15" customHeight="1" x14ac:dyDescent="0.3">
      <c r="B1" s="39" t="s">
        <v>68</v>
      </c>
    </row>
    <row r="2" spans="2:33" x14ac:dyDescent="0.25">
      <c r="B2" s="17" t="s">
        <v>15</v>
      </c>
    </row>
    <row r="3" spans="2:33" x14ac:dyDescent="0.25">
      <c r="B3" s="17"/>
      <c r="F3" t="s">
        <v>89</v>
      </c>
      <c r="G3" t="s">
        <v>90</v>
      </c>
      <c r="H3" t="s">
        <v>91</v>
      </c>
      <c r="I3" t="s">
        <v>92</v>
      </c>
      <c r="J3" t="s">
        <v>55</v>
      </c>
      <c r="K3" t="s">
        <v>93</v>
      </c>
      <c r="M3" t="s">
        <v>94</v>
      </c>
      <c r="N3" s="1" t="s">
        <v>95</v>
      </c>
      <c r="O3" t="s">
        <v>98</v>
      </c>
      <c r="P3" t="s">
        <v>99</v>
      </c>
      <c r="Q3" t="s">
        <v>100</v>
      </c>
      <c r="R3" t="s">
        <v>56</v>
      </c>
      <c r="S3" t="s">
        <v>101</v>
      </c>
      <c r="T3" t="s">
        <v>58</v>
      </c>
      <c r="U3" t="s">
        <v>102</v>
      </c>
      <c r="V3" s="18" t="s">
        <v>103</v>
      </c>
      <c r="W3" s="18"/>
      <c r="X3" s="18"/>
      <c r="Y3" s="18"/>
      <c r="Z3" s="18"/>
    </row>
    <row r="4" spans="2:33" x14ac:dyDescent="0.25">
      <c r="B4" s="17"/>
      <c r="N4" s="1"/>
      <c r="V4" s="18"/>
      <c r="W4" s="1"/>
    </row>
    <row r="5" spans="2:33" ht="15.75" thickBot="1" x14ac:dyDescent="0.3">
      <c r="B5" s="17"/>
      <c r="N5" s="1"/>
      <c r="V5" s="18"/>
      <c r="W5" s="1"/>
      <c r="Z5" t="s">
        <v>111</v>
      </c>
    </row>
    <row r="6" spans="2:33" ht="18.75" x14ac:dyDescent="0.3">
      <c r="B6" s="11" t="s">
        <v>16</v>
      </c>
      <c r="C6" s="16">
        <v>41564</v>
      </c>
      <c r="F6">
        <v>40.1</v>
      </c>
      <c r="G6">
        <v>25</v>
      </c>
      <c r="H6">
        <v>50</v>
      </c>
      <c r="I6">
        <v>25</v>
      </c>
      <c r="J6">
        <v>2589</v>
      </c>
      <c r="K6" s="4">
        <f t="shared" ref="K6:K10" si="0">((J6*G6/100)*6/1000)+((J6*H6/100)*7/1000)+((J6*I6/100)*8/1000)+F6</f>
        <v>58.222999999999999</v>
      </c>
      <c r="L6">
        <f>+K6/K$17</f>
        <v>0.24454661222739782</v>
      </c>
      <c r="M6" s="5">
        <f t="shared" ref="M6:V6" si="1">+M$17*$L6</f>
        <v>0.62484206784644181</v>
      </c>
      <c r="N6" s="5">
        <f t="shared" si="1"/>
        <v>0.49094713685073255</v>
      </c>
      <c r="O6" s="5">
        <f t="shared" si="1"/>
        <v>0.42957839094431532</v>
      </c>
      <c r="P6" s="5">
        <f t="shared" si="1"/>
        <v>0.38184934555090555</v>
      </c>
      <c r="Q6" s="5">
        <f t="shared" si="1"/>
        <v>0.33044644017287572</v>
      </c>
      <c r="R6" s="5">
        <f t="shared" si="1"/>
        <v>0.28879426487729259</v>
      </c>
      <c r="S6" s="5">
        <f t="shared" si="1"/>
        <v>0.26640579609582599</v>
      </c>
      <c r="T6" s="5">
        <f t="shared" si="1"/>
        <v>0.24724115360286639</v>
      </c>
      <c r="U6" s="5">
        <f t="shared" si="1"/>
        <v>0.23064651485877802</v>
      </c>
      <c r="V6" s="5">
        <f t="shared" si="1"/>
        <v>0.35067704157038831</v>
      </c>
      <c r="W6" s="27">
        <f>+C$13</f>
        <v>980</v>
      </c>
      <c r="X6" s="27">
        <f>+W6*1.05</f>
        <v>1029</v>
      </c>
      <c r="Y6" s="2">
        <f>AD6*AC6/W6</f>
        <v>0.23963902470710507</v>
      </c>
      <c r="Z6" s="1">
        <v>2.3726851851851851E-3</v>
      </c>
      <c r="AA6" s="2">
        <f>+AE6*AB6</f>
        <v>0.13814484953703704</v>
      </c>
      <c r="AB6" s="4">
        <f>+K6</f>
        <v>58.222999999999999</v>
      </c>
      <c r="AC6" s="2">
        <f>+AA6</f>
        <v>0.13814484953703704</v>
      </c>
      <c r="AD6" s="27">
        <v>1700</v>
      </c>
      <c r="AE6" s="5">
        <f>1700/AD6*Z6</f>
        <v>2.3726851851851851E-3</v>
      </c>
      <c r="AG6" s="5"/>
    </row>
    <row r="7" spans="2:33" ht="18.75" x14ac:dyDescent="0.3">
      <c r="B7" s="12" t="s">
        <v>6</v>
      </c>
      <c r="C7" s="10" t="s">
        <v>96</v>
      </c>
      <c r="F7">
        <v>10.199999999999999</v>
      </c>
      <c r="G7">
        <v>25</v>
      </c>
      <c r="H7">
        <v>5</v>
      </c>
      <c r="I7">
        <v>70</v>
      </c>
      <c r="J7">
        <v>47</v>
      </c>
      <c r="K7" s="4">
        <f t="shared" si="0"/>
        <v>10.550149999999999</v>
      </c>
      <c r="L7">
        <f t="shared" ref="L7:L15" si="2">+K7/K$17</f>
        <v>4.4312444240092071E-2</v>
      </c>
      <c r="M7" s="5">
        <f t="shared" ref="M7:M15" si="3">+M$17*L7</f>
        <v>0.11322291091304358</v>
      </c>
      <c r="N7" s="5">
        <f t="shared" ref="N7:V15" si="4">+N$17*$L7</f>
        <v>8.8960821940569104E-2</v>
      </c>
      <c r="O7" s="5">
        <f t="shared" si="4"/>
        <v>7.7840655088558947E-2</v>
      </c>
      <c r="P7" s="5">
        <f t="shared" si="4"/>
        <v>6.9192035329060431E-2</v>
      </c>
      <c r="Q7" s="5">
        <f t="shared" si="4"/>
        <v>5.9877703154936443E-2</v>
      </c>
      <c r="R7" s="5">
        <f t="shared" si="4"/>
        <v>5.2330227119783732E-2</v>
      </c>
      <c r="S7" s="5">
        <f t="shared" si="4"/>
        <v>4.8273381819562332E-2</v>
      </c>
      <c r="T7" s="5">
        <f t="shared" si="4"/>
        <v>4.4800701727552343E-2</v>
      </c>
      <c r="U7" s="5">
        <f t="shared" si="4"/>
        <v>4.1793712600472946E-2</v>
      </c>
      <c r="V7" s="5">
        <f t="shared" si="4"/>
        <v>6.3543537607540515E-2</v>
      </c>
      <c r="W7" s="27">
        <f t="shared" ref="W7:W15" si="5">+C$13</f>
        <v>980</v>
      </c>
      <c r="X7" s="27">
        <f>+X8</f>
        <v>999.6</v>
      </c>
      <c r="Y7" s="2">
        <f>AD7*AC7/W7</f>
        <v>5.5850298445767159E-2</v>
      </c>
      <c r="Z7" s="1">
        <v>2.4768518518518516E-3</v>
      </c>
      <c r="AA7" s="2">
        <f t="shared" ref="AA7:AA15" si="6">+AE7*AB7</f>
        <v>0.17034090393518517</v>
      </c>
      <c r="AB7" s="4">
        <f>+AB6+K7</f>
        <v>68.773150000000001</v>
      </c>
      <c r="AC7" s="2">
        <f>+AA7-AA6</f>
        <v>3.2196054398148127E-2</v>
      </c>
      <c r="AD7" s="27">
        <v>1700</v>
      </c>
      <c r="AE7" s="5">
        <f t="shared" ref="AE7:AE15" si="7">1700/AD7*Z7</f>
        <v>2.4768518518518516E-3</v>
      </c>
      <c r="AG7" s="5"/>
    </row>
    <row r="8" spans="2:33" ht="18.75" x14ac:dyDescent="0.3">
      <c r="B8" s="12" t="s">
        <v>7</v>
      </c>
      <c r="C8" s="10">
        <v>163.5</v>
      </c>
      <c r="F8">
        <v>15.6</v>
      </c>
      <c r="G8">
        <v>15</v>
      </c>
      <c r="H8">
        <v>0</v>
      </c>
      <c r="I8">
        <v>85</v>
      </c>
      <c r="J8">
        <v>838</v>
      </c>
      <c r="K8" s="4">
        <f t="shared" si="0"/>
        <v>22.052599999999998</v>
      </c>
      <c r="L8">
        <f t="shared" si="2"/>
        <v>9.2624712240968562E-2</v>
      </c>
      <c r="M8" s="5">
        <f t="shared" si="3"/>
        <v>0.23666578818319978</v>
      </c>
      <c r="N8" s="5">
        <f t="shared" si="4"/>
        <v>0.18595161414070838</v>
      </c>
      <c r="O8" s="5">
        <f t="shared" si="4"/>
        <v>0.16270752836745972</v>
      </c>
      <c r="P8" s="5">
        <f t="shared" si="4"/>
        <v>0.14462962880126237</v>
      </c>
      <c r="Q8" s="5">
        <f t="shared" si="4"/>
        <v>0.12516021446088932</v>
      </c>
      <c r="R8" s="5">
        <f t="shared" si="4"/>
        <v>0.10938399611206881</v>
      </c>
      <c r="S8" s="5">
        <f t="shared" si="4"/>
        <v>0.10090411794278568</v>
      </c>
      <c r="T8" s="5">
        <f t="shared" si="4"/>
        <v>9.3645299348068131E-2</v>
      </c>
      <c r="U8" s="5">
        <f t="shared" si="4"/>
        <v>8.7359897868105177E-2</v>
      </c>
      <c r="V8" s="5">
        <f t="shared" si="4"/>
        <v>0.13282277668507539</v>
      </c>
      <c r="W8" s="27">
        <f t="shared" si="5"/>
        <v>980</v>
      </c>
      <c r="X8" s="27">
        <f>+X9</f>
        <v>999.6</v>
      </c>
      <c r="Y8" s="2">
        <f t="shared" ref="Y8:Y15" si="8">AD8*AC8/W8</f>
        <v>0.12392758267195776</v>
      </c>
      <c r="Z8" s="1">
        <v>2.6620370370370374E-3</v>
      </c>
      <c r="AA8" s="2">
        <f t="shared" si="6"/>
        <v>0.24178151041666671</v>
      </c>
      <c r="AB8" s="4">
        <f t="shared" ref="AB8:AB15" si="9">+AB7+K8</f>
        <v>90.825749999999999</v>
      </c>
      <c r="AC8" s="2">
        <f>+AA8-AA7</f>
        <v>7.1440606481481539E-2</v>
      </c>
      <c r="AD8" s="27">
        <v>1700</v>
      </c>
      <c r="AE8" s="5">
        <f t="shared" si="7"/>
        <v>2.6620370370370374E-3</v>
      </c>
    </row>
    <row r="9" spans="2:33" ht="18.75" x14ac:dyDescent="0.3">
      <c r="B9" s="12" t="s">
        <v>8</v>
      </c>
      <c r="C9" s="10">
        <v>67</v>
      </c>
      <c r="F9">
        <v>11.5</v>
      </c>
      <c r="G9">
        <v>4</v>
      </c>
      <c r="H9">
        <v>0</v>
      </c>
      <c r="I9">
        <v>96</v>
      </c>
      <c r="J9">
        <v>1282</v>
      </c>
      <c r="K9" s="4">
        <f t="shared" si="0"/>
        <v>21.65344</v>
      </c>
      <c r="L9">
        <f t="shared" si="2"/>
        <v>9.094817160004165E-2</v>
      </c>
      <c r="M9" s="5">
        <f t="shared" si="3"/>
        <v>0.23238205220598143</v>
      </c>
      <c r="N9" s="5">
        <f t="shared" si="4"/>
        <v>0.18258582297320863</v>
      </c>
      <c r="O9" s="5">
        <f t="shared" si="4"/>
        <v>0.15976246352144816</v>
      </c>
      <c r="P9" s="5">
        <f t="shared" si="4"/>
        <v>0.14201178044631504</v>
      </c>
      <c r="Q9" s="5">
        <f t="shared" si="4"/>
        <v>0.12289476951543127</v>
      </c>
      <c r="R9" s="5">
        <f t="shared" si="4"/>
        <v>0.10740410639892418</v>
      </c>
      <c r="S9" s="5">
        <f t="shared" si="4"/>
        <v>9.9077717077670366E-2</v>
      </c>
      <c r="T9" s="5">
        <f t="shared" si="4"/>
        <v>9.1950285713042104E-2</v>
      </c>
      <c r="U9" s="5">
        <f t="shared" si="4"/>
        <v>8.5778652262914284E-2</v>
      </c>
      <c r="V9" s="5">
        <f t="shared" si="4"/>
        <v>0.13041863660446748</v>
      </c>
      <c r="W9" s="27">
        <f t="shared" si="5"/>
        <v>980</v>
      </c>
      <c r="X9" s="27">
        <f>+W9*1.02</f>
        <v>999.6</v>
      </c>
      <c r="Y9" s="2">
        <f t="shared" si="8"/>
        <v>0.1225746559665533</v>
      </c>
      <c r="Z9" s="1">
        <v>2.7777777777777779E-3</v>
      </c>
      <c r="AA9" s="2">
        <f t="shared" si="6"/>
        <v>0.31244219444444449</v>
      </c>
      <c r="AB9" s="4">
        <f t="shared" si="9"/>
        <v>112.47919</v>
      </c>
      <c r="AC9" s="2">
        <f t="shared" ref="AC9:AC15" si="10">+AA9-AA8</f>
        <v>7.0660684027777781E-2</v>
      </c>
      <c r="AD9" s="27">
        <f>+AD8</f>
        <v>1700</v>
      </c>
      <c r="AE9" s="5">
        <f t="shared" si="7"/>
        <v>2.7777777777777779E-3</v>
      </c>
    </row>
    <row r="10" spans="2:33" ht="18.75" x14ac:dyDescent="0.3">
      <c r="B10" s="12" t="s">
        <v>9</v>
      </c>
      <c r="C10" s="10">
        <v>18</v>
      </c>
      <c r="F10">
        <v>19.7</v>
      </c>
      <c r="G10">
        <v>5</v>
      </c>
      <c r="H10">
        <v>5</v>
      </c>
      <c r="I10">
        <v>90</v>
      </c>
      <c r="J10">
        <v>941</v>
      </c>
      <c r="K10" s="4">
        <f t="shared" si="0"/>
        <v>27.086849999999998</v>
      </c>
      <c r="L10">
        <f t="shared" si="2"/>
        <v>0.11376942794791904</v>
      </c>
      <c r="M10" s="5">
        <f t="shared" si="3"/>
        <v>0.29069273938901108</v>
      </c>
      <c r="N10" s="5">
        <f t="shared" si="4"/>
        <v>0.22840134403595255</v>
      </c>
      <c r="O10" s="5">
        <f t="shared" si="4"/>
        <v>0.19985101143448514</v>
      </c>
      <c r="P10" s="5">
        <f t="shared" si="4"/>
        <v>0.17764622134784441</v>
      </c>
      <c r="Q10" s="5">
        <f t="shared" si="4"/>
        <v>0.15373225629041201</v>
      </c>
      <c r="R10" s="5">
        <f t="shared" si="4"/>
        <v>0.13435458381724563</v>
      </c>
      <c r="S10" s="5">
        <f t="shared" si="4"/>
        <v>0.12393888734655073</v>
      </c>
      <c r="T10" s="5">
        <f t="shared" si="4"/>
        <v>0.11502299849660445</v>
      </c>
      <c r="U10" s="5">
        <f t="shared" si="4"/>
        <v>0.10730274206074045</v>
      </c>
      <c r="V10" s="5">
        <f t="shared" si="4"/>
        <v>0.16314405687547659</v>
      </c>
      <c r="W10" s="27">
        <f t="shared" si="5"/>
        <v>980</v>
      </c>
      <c r="X10" s="27">
        <f>+X11</f>
        <v>960.4</v>
      </c>
      <c r="Y10" s="2">
        <f t="shared" si="8"/>
        <v>0.16134400684996211</v>
      </c>
      <c r="Z10" s="3">
        <v>2.9050925925925928E-3</v>
      </c>
      <c r="AA10" s="2">
        <f t="shared" si="6"/>
        <v>0.40545226898148146</v>
      </c>
      <c r="AB10" s="4">
        <f t="shared" si="9"/>
        <v>139.56603999999999</v>
      </c>
      <c r="AC10" s="2">
        <f t="shared" si="10"/>
        <v>9.3010074537036969E-2</v>
      </c>
      <c r="AD10" s="27">
        <f t="shared" ref="AD10:AD15" si="11">+AD9</f>
        <v>1700</v>
      </c>
      <c r="AE10" s="5">
        <f t="shared" si="7"/>
        <v>2.9050925925925928E-3</v>
      </c>
    </row>
    <row r="11" spans="2:33" ht="18.75" x14ac:dyDescent="0.3">
      <c r="B11" s="12" t="s">
        <v>10</v>
      </c>
      <c r="C11" s="10">
        <v>15</v>
      </c>
      <c r="F11">
        <v>8</v>
      </c>
      <c r="G11">
        <v>0</v>
      </c>
      <c r="H11">
        <v>0</v>
      </c>
      <c r="I11">
        <v>100</v>
      </c>
      <c r="J11">
        <v>1061</v>
      </c>
      <c r="K11" s="4">
        <f>((J11*G11/100)*6/1000)+((J11*H11/100)*7/1000)+((J11*I11/100)*8/1000)+F11</f>
        <v>16.488</v>
      </c>
      <c r="L11">
        <f t="shared" si="2"/>
        <v>6.9252435333207407E-2</v>
      </c>
      <c r="M11" s="5">
        <f t="shared" si="3"/>
        <v>0.17694718607169213</v>
      </c>
      <c r="N11" s="5">
        <f t="shared" si="4"/>
        <v>0.13902987466112837</v>
      </c>
      <c r="O11" s="5">
        <f t="shared" si="4"/>
        <v>0.12165104013688527</v>
      </c>
      <c r="P11" s="5">
        <f t="shared" si="4"/>
        <v>0.10813479225466449</v>
      </c>
      <c r="Q11" s="5">
        <f t="shared" si="4"/>
        <v>9.3578154776812847E-2</v>
      </c>
      <c r="R11" s="5">
        <f t="shared" si="4"/>
        <v>8.1782797851309624E-2</v>
      </c>
      <c r="S11" s="5">
        <f t="shared" si="4"/>
        <v>7.5442673273929173E-2</v>
      </c>
      <c r="T11" s="5">
        <f t="shared" si="4"/>
        <v>7.0015494574378861E-2</v>
      </c>
      <c r="U11" s="5">
        <f t="shared" si="4"/>
        <v>6.5316107672080306E-2</v>
      </c>
      <c r="V11" s="5">
        <f t="shared" si="4"/>
        <v>9.9307199241065597E-2</v>
      </c>
      <c r="W11" s="27">
        <f t="shared" si="5"/>
        <v>980</v>
      </c>
      <c r="X11" s="27">
        <f>+X12</f>
        <v>960.4</v>
      </c>
      <c r="Y11" s="2">
        <f t="shared" si="8"/>
        <v>0.11755527385676491</v>
      </c>
      <c r="Z11" s="3">
        <v>3.0324074074074073E-3</v>
      </c>
      <c r="AA11" s="2">
        <f t="shared" si="6"/>
        <v>0.47321942685185181</v>
      </c>
      <c r="AB11" s="4">
        <f t="shared" si="9"/>
        <v>156.05403999999999</v>
      </c>
      <c r="AC11" s="2">
        <f t="shared" si="10"/>
        <v>6.7767157870370354E-2</v>
      </c>
      <c r="AD11" s="27">
        <f t="shared" si="11"/>
        <v>1700</v>
      </c>
      <c r="AE11" s="5">
        <f t="shared" si="7"/>
        <v>3.0324074074074073E-3</v>
      </c>
    </row>
    <row r="12" spans="2:33" ht="18.75" x14ac:dyDescent="0.3">
      <c r="B12" s="12" t="s">
        <v>11</v>
      </c>
      <c r="C12" s="48">
        <v>9917</v>
      </c>
      <c r="F12">
        <v>19.600000000000001</v>
      </c>
      <c r="G12">
        <v>10</v>
      </c>
      <c r="H12">
        <v>5</v>
      </c>
      <c r="I12">
        <v>85</v>
      </c>
      <c r="J12">
        <v>1084</v>
      </c>
      <c r="K12" s="4">
        <f>((J12*G12/100)*6/1000)+((J12*H12/100)*7/1000)+((J12*I12/100)*8/1000)+F12</f>
        <v>28.001000000000001</v>
      </c>
      <c r="L12">
        <f t="shared" si="2"/>
        <v>0.1176090151482982</v>
      </c>
      <c r="M12" s="5">
        <f t="shared" si="3"/>
        <v>0.30050328464297987</v>
      </c>
      <c r="N12" s="5">
        <f t="shared" si="4"/>
        <v>0.2361096264183804</v>
      </c>
      <c r="O12" s="5">
        <f t="shared" si="4"/>
        <v>0.20659575296415117</v>
      </c>
      <c r="P12" s="5">
        <f t="shared" si="4"/>
        <v>0.18364157677843648</v>
      </c>
      <c r="Q12" s="5">
        <f t="shared" si="4"/>
        <v>0.15892054293459104</v>
      </c>
      <c r="R12" s="5">
        <f t="shared" si="4"/>
        <v>0.13888889632669341</v>
      </c>
      <c r="S12" s="5">
        <f t="shared" si="4"/>
        <v>0.12812168209263045</v>
      </c>
      <c r="T12" s="5">
        <f t="shared" si="4"/>
        <v>0.11890489225965445</v>
      </c>
      <c r="U12" s="5">
        <f t="shared" si="4"/>
        <v>0.11092408605809806</v>
      </c>
      <c r="V12" s="5">
        <f t="shared" si="4"/>
        <v>0.16864998095275824</v>
      </c>
      <c r="W12" s="27">
        <f t="shared" si="5"/>
        <v>980</v>
      </c>
      <c r="X12" s="27">
        <f>+W12*0.98</f>
        <v>960.4</v>
      </c>
      <c r="Y12" s="2">
        <f t="shared" si="8"/>
        <v>0.21750547042705975</v>
      </c>
      <c r="Z12" s="3">
        <v>3.2523148148148151E-3</v>
      </c>
      <c r="AA12" s="2">
        <f t="shared" si="6"/>
        <v>0.59860493333333331</v>
      </c>
      <c r="AB12" s="4">
        <f t="shared" si="9"/>
        <v>184.05503999999999</v>
      </c>
      <c r="AC12" s="2">
        <f t="shared" si="10"/>
        <v>0.1253855064814815</v>
      </c>
      <c r="AD12" s="27">
        <f t="shared" si="11"/>
        <v>1700</v>
      </c>
      <c r="AE12" s="5">
        <f t="shared" si="7"/>
        <v>3.2523148148148151E-3</v>
      </c>
    </row>
    <row r="13" spans="2:33" ht="19.5" thickBot="1" x14ac:dyDescent="0.35">
      <c r="B13" s="13" t="s">
        <v>67</v>
      </c>
      <c r="C13" s="41">
        <f>+roadbook!B11</f>
        <v>980</v>
      </c>
      <c r="F13">
        <v>18.5</v>
      </c>
      <c r="G13">
        <v>30</v>
      </c>
      <c r="H13">
        <v>25</v>
      </c>
      <c r="I13">
        <v>45</v>
      </c>
      <c r="J13">
        <v>841</v>
      </c>
      <c r="K13" s="4">
        <f>((J13*G13/100)*6/1000)+((J13*H13/100)*7/1000)+((J13*I13/100)*8/1000)+F13</f>
        <v>24.51315</v>
      </c>
      <c r="L13">
        <f t="shared" si="2"/>
        <v>0.10295944536561216</v>
      </c>
      <c r="M13" s="5">
        <f t="shared" si="3"/>
        <v>0.26307210785136464</v>
      </c>
      <c r="N13" s="5">
        <f t="shared" si="4"/>
        <v>0.20669942819319745</v>
      </c>
      <c r="O13" s="5">
        <f t="shared" si="4"/>
        <v>0.18086185071151681</v>
      </c>
      <c r="P13" s="5">
        <f t="shared" si="4"/>
        <v>0.16076688396151317</v>
      </c>
      <c r="Q13" s="5">
        <f t="shared" si="4"/>
        <v>0.13912514221053071</v>
      </c>
      <c r="R13" s="5">
        <f t="shared" si="4"/>
        <v>0.12158867001145261</v>
      </c>
      <c r="S13" s="5">
        <f t="shared" si="4"/>
        <v>0.11216263745541104</v>
      </c>
      <c r="T13" s="5">
        <f t="shared" si="4"/>
        <v>0.10409390592102956</v>
      </c>
      <c r="U13" s="5">
        <f t="shared" si="4"/>
        <v>9.7107201891184838E-2</v>
      </c>
      <c r="V13" s="5">
        <f t="shared" si="4"/>
        <v>0.14764266564023093</v>
      </c>
      <c r="W13" s="27">
        <f t="shared" si="5"/>
        <v>980</v>
      </c>
      <c r="X13" s="27">
        <f>+X14</f>
        <v>931</v>
      </c>
      <c r="Y13" s="2">
        <f t="shared" si="8"/>
        <v>0.18017279602465974</v>
      </c>
      <c r="Z13" s="3">
        <v>3.3680555555555551E-3</v>
      </c>
      <c r="AA13" s="2">
        <f t="shared" si="6"/>
        <v>0.70246925104166658</v>
      </c>
      <c r="AB13" s="4">
        <f t="shared" si="9"/>
        <v>208.56818999999999</v>
      </c>
      <c r="AC13" s="2">
        <f t="shared" si="10"/>
        <v>0.10386431770833326</v>
      </c>
      <c r="AD13" s="27">
        <f t="shared" si="11"/>
        <v>1700</v>
      </c>
      <c r="AE13" s="5">
        <f t="shared" si="7"/>
        <v>3.3680555555555551E-3</v>
      </c>
    </row>
    <row r="14" spans="2:33" ht="18.75" x14ac:dyDescent="0.3">
      <c r="B14" s="12" t="s">
        <v>12</v>
      </c>
      <c r="C14" s="15">
        <f>+(C12*C9/100*8/1000)+(C12*C10/100*7/1000)+(C12*C11/100*6/1000)+C8</f>
        <v>238.07584</v>
      </c>
      <c r="F14">
        <v>6.8</v>
      </c>
      <c r="G14">
        <v>10</v>
      </c>
      <c r="H14">
        <v>40</v>
      </c>
      <c r="I14">
        <v>50</v>
      </c>
      <c r="J14">
        <v>377</v>
      </c>
      <c r="K14" s="4">
        <f>((J14*G14/100)*6/1000)+((J14*H14/100)*7/1000)+((J14*I14/100)*8/1000)+F14</f>
        <v>9.5898000000000003</v>
      </c>
      <c r="L14">
        <f t="shared" si="2"/>
        <v>4.027880909500197E-2</v>
      </c>
      <c r="M14" s="5">
        <f t="shared" si="3"/>
        <v>0.10291655294701077</v>
      </c>
      <c r="N14" s="5">
        <f t="shared" si="4"/>
        <v>8.0862972587657039E-2</v>
      </c>
      <c r="O14" s="5">
        <f t="shared" si="4"/>
        <v>7.0755042740459878E-2</v>
      </c>
      <c r="P14" s="5">
        <f t="shared" si="4"/>
        <v>6.2893682118133287E-2</v>
      </c>
      <c r="Q14" s="5">
        <f t="shared" si="4"/>
        <v>5.4427206979541488E-2</v>
      </c>
      <c r="R14" s="5">
        <f t="shared" si="4"/>
        <v>4.756675611562889E-2</v>
      </c>
      <c r="S14" s="5">
        <f t="shared" si="4"/>
        <v>4.3879193847787851E-2</v>
      </c>
      <c r="T14" s="5">
        <f t="shared" si="4"/>
        <v>4.072262189891912E-2</v>
      </c>
      <c r="U14" s="5">
        <f t="shared" si="4"/>
        <v>3.7989350397483974E-2</v>
      </c>
      <c r="V14" s="5">
        <f t="shared" si="4"/>
        <v>5.7759350999634342E-2</v>
      </c>
      <c r="W14" s="27">
        <f t="shared" si="5"/>
        <v>980</v>
      </c>
      <c r="X14" s="27">
        <f>+X15</f>
        <v>931</v>
      </c>
      <c r="Y14" s="2">
        <f t="shared" si="8"/>
        <v>6.4788964781746131E-2</v>
      </c>
      <c r="Z14" s="3">
        <v>3.3912037037037036E-3</v>
      </c>
      <c r="AA14" s="2">
        <f t="shared" si="6"/>
        <v>0.73981818368055552</v>
      </c>
      <c r="AB14" s="4">
        <f t="shared" si="9"/>
        <v>218.15798999999998</v>
      </c>
      <c r="AC14" s="2">
        <f t="shared" si="10"/>
        <v>3.7348932638888943E-2</v>
      </c>
      <c r="AD14" s="27">
        <f t="shared" si="11"/>
        <v>1700</v>
      </c>
      <c r="AE14" s="5">
        <f t="shared" si="7"/>
        <v>3.3912037037037036E-3</v>
      </c>
    </row>
    <row r="15" spans="2:33" x14ac:dyDescent="0.25">
      <c r="F15">
        <v>13.5</v>
      </c>
      <c r="G15">
        <v>15</v>
      </c>
      <c r="H15">
        <v>20</v>
      </c>
      <c r="I15">
        <v>65</v>
      </c>
      <c r="J15">
        <v>857</v>
      </c>
      <c r="K15" s="4">
        <f>((J15*G15/100)*6/1000)+((J15*H15/100)*7/1000)+((J15*I15/100)*8/1000)+F15</f>
        <v>19.927499999999998</v>
      </c>
      <c r="L15">
        <f t="shared" si="2"/>
        <v>8.3698926801461099E-2</v>
      </c>
      <c r="M15" s="5">
        <f t="shared" si="3"/>
        <v>0.2138594766159416</v>
      </c>
      <c r="N15" s="5">
        <f t="shared" si="4"/>
        <v>0.16803237671698423</v>
      </c>
      <c r="O15" s="5">
        <f t="shared" si="4"/>
        <v>0.14702820853516382</v>
      </c>
      <c r="P15" s="5">
        <f t="shared" si="4"/>
        <v>0.13069238674519812</v>
      </c>
      <c r="Q15" s="5">
        <f t="shared" si="4"/>
        <v>0.11309914357805301</v>
      </c>
      <c r="R15" s="5">
        <f t="shared" si="4"/>
        <v>9.8843201369600467E-2</v>
      </c>
      <c r="S15" s="5">
        <f t="shared" si="4"/>
        <v>9.1180487121920395E-2</v>
      </c>
      <c r="T15" s="5">
        <f t="shared" si="4"/>
        <v>8.4621164976403124E-2</v>
      </c>
      <c r="U15" s="5">
        <f t="shared" si="4"/>
        <v>7.8941456552364161E-2</v>
      </c>
      <c r="V15" s="5">
        <f t="shared" si="4"/>
        <v>0.12002330257619691</v>
      </c>
      <c r="W15" s="27">
        <f t="shared" si="5"/>
        <v>980</v>
      </c>
      <c r="X15" s="27">
        <f>+W15*0.95</f>
        <v>931</v>
      </c>
      <c r="Y15" s="2">
        <f t="shared" si="8"/>
        <v>0.16024891046626996</v>
      </c>
      <c r="Z15" s="3">
        <v>3.4953703703703705E-3</v>
      </c>
      <c r="AA15" s="2">
        <f t="shared" si="6"/>
        <v>0.83219696736111115</v>
      </c>
      <c r="AB15" s="4">
        <f t="shared" si="9"/>
        <v>238.08548999999999</v>
      </c>
      <c r="AC15" s="2">
        <f t="shared" si="10"/>
        <v>9.2378783680555632E-2</v>
      </c>
      <c r="AD15" s="27">
        <f t="shared" si="11"/>
        <v>1700</v>
      </c>
      <c r="AE15" s="5">
        <f t="shared" si="7"/>
        <v>3.4953703703703705E-3</v>
      </c>
    </row>
    <row r="16" spans="2:33" ht="19.5" thickBot="1" x14ac:dyDescent="0.35">
      <c r="B16" s="13" t="s">
        <v>66</v>
      </c>
      <c r="C16" s="40">
        <f>+calcul!K55</f>
        <v>1.4339885487528343</v>
      </c>
      <c r="D16" s="2"/>
    </row>
    <row r="17" spans="2:25" ht="18.75" x14ac:dyDescent="0.3">
      <c r="B17" s="14" t="s">
        <v>13</v>
      </c>
      <c r="C17" s="38" t="str">
        <f>+calcul!K59</f>
        <v>Départem.</v>
      </c>
      <c r="K17" s="4">
        <f>SUM(K6:K16)</f>
        <v>238.08548999999999</v>
      </c>
      <c r="L17" t="s">
        <v>97</v>
      </c>
      <c r="M17" s="5">
        <v>2.5551041666666667</v>
      </c>
      <c r="N17" s="5">
        <v>2.0075810185185188</v>
      </c>
      <c r="O17" s="5">
        <v>1.7566319444444443</v>
      </c>
      <c r="P17" s="5">
        <v>1.5614583333333334</v>
      </c>
      <c r="Q17" s="5">
        <v>1.3512615740740739</v>
      </c>
      <c r="R17" s="5">
        <v>1.1809375</v>
      </c>
      <c r="S17" s="5">
        <v>1.089386574074074</v>
      </c>
      <c r="T17" s="5">
        <v>1.0110185185185185</v>
      </c>
      <c r="U17" s="5">
        <v>0.94315972222222222</v>
      </c>
      <c r="V17" s="5">
        <f>+C16</f>
        <v>1.4339885487528343</v>
      </c>
      <c r="Y17" s="3">
        <f>SUM(roadbook!E17:E26)</f>
        <v>1.4436069841978458</v>
      </c>
    </row>
    <row r="18" spans="2:25" ht="18.75" x14ac:dyDescent="0.3">
      <c r="B18" s="14" t="s">
        <v>14</v>
      </c>
      <c r="C18" s="38" t="str">
        <f>+calcul!K60</f>
        <v>ORANGE</v>
      </c>
      <c r="N18">
        <v>700</v>
      </c>
      <c r="O18">
        <v>800</v>
      </c>
      <c r="P18">
        <v>900</v>
      </c>
      <c r="Q18">
        <v>1040</v>
      </c>
      <c r="R18">
        <v>1190</v>
      </c>
      <c r="S18">
        <v>1290</v>
      </c>
      <c r="T18">
        <v>1390</v>
      </c>
      <c r="U18">
        <v>1490</v>
      </c>
    </row>
    <row r="19" spans="2:25" ht="18.75" x14ac:dyDescent="0.3">
      <c r="B19" s="14" t="s">
        <v>69</v>
      </c>
      <c r="C19" s="38" t="str">
        <f>CONCATENATE(calcul!J61,+calcul!K61,calcul!K62)</f>
        <v/>
      </c>
    </row>
    <row r="21" spans="2:25" ht="15.75" x14ac:dyDescent="0.25">
      <c r="B21" s="42" t="s">
        <v>72</v>
      </c>
      <c r="C21" s="46" t="s">
        <v>77</v>
      </c>
    </row>
    <row r="22" spans="2:25" ht="15.75" x14ac:dyDescent="0.25">
      <c r="B22" s="43" t="s">
        <v>73</v>
      </c>
      <c r="C22" s="47" t="str">
        <f>CONCATENATE(+calcul!K94, calcul!J94)</f>
        <v>0kds</v>
      </c>
    </row>
    <row r="23" spans="2:25" ht="15.75" x14ac:dyDescent="0.25">
      <c r="B23" s="43" t="s">
        <v>74</v>
      </c>
      <c r="C23" s="47" t="str">
        <f>CONCATENATE(+calcul!K95, calcul!J95)</f>
        <v>0kds</v>
      </c>
    </row>
    <row r="24" spans="2:25" ht="15.75" x14ac:dyDescent="0.25">
      <c r="B24" s="44" t="s">
        <v>78</v>
      </c>
      <c r="C24" s="45">
        <f>+calcul!K93</f>
        <v>0</v>
      </c>
    </row>
    <row r="25" spans="2:25" x14ac:dyDescent="0.25">
      <c r="B25" s="49" t="str">
        <f>+IF(C24=0,"vous avez atteint les plus longues distances faisables sur 24 heures !!","")</f>
        <v>vous avez atteint les plus longues distances faisables sur 24 heures !!</v>
      </c>
    </row>
  </sheetData>
  <sheetProtection password="9ED0" sheet="1" objects="1" scenarios="1"/>
  <protectedRanges>
    <protectedRange sqref="C6:C13" name="Plage1"/>
  </protectedRange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Layout" workbookViewId="0">
      <selection activeCell="B12" sqref="B12"/>
    </sheetView>
  </sheetViews>
  <sheetFormatPr baseColWidth="10" defaultRowHeight="15" x14ac:dyDescent="0.25"/>
  <cols>
    <col min="1" max="1" width="34.42578125" customWidth="1"/>
    <col min="2" max="2" width="15" customWidth="1"/>
    <col min="3" max="3" width="10.140625" customWidth="1"/>
    <col min="4" max="4" width="8.42578125" customWidth="1"/>
  </cols>
  <sheetData>
    <row r="1" spans="1:5" x14ac:dyDescent="0.25">
      <c r="A1" t="s">
        <v>112</v>
      </c>
    </row>
    <row r="2" spans="1:5" ht="15.75" thickBot="1" x14ac:dyDescent="0.3">
      <c r="A2" s="17" t="s">
        <v>105</v>
      </c>
    </row>
    <row r="3" spans="1:5" ht="18.75" x14ac:dyDescent="0.3">
      <c r="A3" s="52" t="s">
        <v>16</v>
      </c>
      <c r="B3" s="53">
        <v>41564</v>
      </c>
    </row>
    <row r="4" spans="1:5" ht="18.75" x14ac:dyDescent="0.3">
      <c r="A4" s="54" t="s">
        <v>6</v>
      </c>
      <c r="B4" s="55" t="s">
        <v>96</v>
      </c>
    </row>
    <row r="5" spans="1:5" ht="18.75" x14ac:dyDescent="0.3">
      <c r="A5" s="54" t="s">
        <v>7</v>
      </c>
      <c r="B5" s="55">
        <v>163.5</v>
      </c>
    </row>
    <row r="6" spans="1:5" ht="18.75" x14ac:dyDescent="0.3">
      <c r="A6" s="54" t="s">
        <v>8</v>
      </c>
      <c r="B6" s="55">
        <v>67</v>
      </c>
    </row>
    <row r="7" spans="1:5" ht="18.75" x14ac:dyDescent="0.3">
      <c r="A7" s="54" t="s">
        <v>9</v>
      </c>
      <c r="B7" s="55">
        <v>18</v>
      </c>
    </row>
    <row r="8" spans="1:5" ht="18.75" x14ac:dyDescent="0.3">
      <c r="A8" s="54" t="s">
        <v>10</v>
      </c>
      <c r="B8" s="55">
        <v>15</v>
      </c>
    </row>
    <row r="9" spans="1:5" ht="18.75" x14ac:dyDescent="0.3">
      <c r="A9" s="54" t="s">
        <v>11</v>
      </c>
      <c r="B9" s="56">
        <v>9917</v>
      </c>
    </row>
    <row r="10" spans="1:5" ht="15.75" thickBot="1" x14ac:dyDescent="0.3"/>
    <row r="11" spans="1:5" ht="19.5" thickBot="1" x14ac:dyDescent="0.35">
      <c r="A11" s="57" t="s">
        <v>104</v>
      </c>
      <c r="B11" s="58">
        <v>980</v>
      </c>
    </row>
    <row r="12" spans="1:5" x14ac:dyDescent="0.25">
      <c r="C12" s="61" t="s">
        <v>110</v>
      </c>
    </row>
    <row r="13" spans="1:5" ht="18.75" x14ac:dyDescent="0.3">
      <c r="A13" s="57" t="s">
        <v>106</v>
      </c>
      <c r="B13" s="60">
        <f>+niveau!C16</f>
        <v>1.4339885487528343</v>
      </c>
      <c r="C13" s="62">
        <f>+E28-B13</f>
        <v>9.6184354450115084E-3</v>
      </c>
      <c r="D13" s="63"/>
      <c r="E13" s="64">
        <f>+B13+C13</f>
        <v>1.4436069841978458</v>
      </c>
    </row>
    <row r="15" spans="1:5" x14ac:dyDescent="0.25">
      <c r="A15" s="59" t="s">
        <v>107</v>
      </c>
    </row>
    <row r="16" spans="1:5" x14ac:dyDescent="0.25">
      <c r="B16" s="26" t="s">
        <v>89</v>
      </c>
      <c r="C16" s="26" t="s">
        <v>108</v>
      </c>
      <c r="D16" s="26" t="s">
        <v>75</v>
      </c>
      <c r="E16" s="26" t="s">
        <v>109</v>
      </c>
    </row>
    <row r="17" spans="1:5" x14ac:dyDescent="0.25">
      <c r="A17" s="68" t="s">
        <v>79</v>
      </c>
      <c r="B17" s="69">
        <v>40.1</v>
      </c>
      <c r="C17" s="70">
        <v>2589</v>
      </c>
      <c r="D17" s="71">
        <v>58.22</v>
      </c>
      <c r="E17" s="72">
        <f>+niveau!Y6</f>
        <v>0.23963902470710507</v>
      </c>
    </row>
    <row r="18" spans="1:5" x14ac:dyDescent="0.25">
      <c r="A18" s="73" t="s">
        <v>80</v>
      </c>
      <c r="B18" s="74">
        <v>10.199999999999999</v>
      </c>
      <c r="C18" s="75">
        <v>47</v>
      </c>
      <c r="D18" s="76">
        <v>10.55</v>
      </c>
      <c r="E18" s="77">
        <f>+niveau!Y7</f>
        <v>5.5850298445767159E-2</v>
      </c>
    </row>
    <row r="19" spans="1:5" x14ac:dyDescent="0.25">
      <c r="A19" s="73" t="s">
        <v>81</v>
      </c>
      <c r="B19" s="74">
        <v>15.6</v>
      </c>
      <c r="C19" s="75">
        <v>838</v>
      </c>
      <c r="D19" s="76">
        <v>22.05</v>
      </c>
      <c r="E19" s="77">
        <f>+niveau!Y8</f>
        <v>0.12392758267195776</v>
      </c>
    </row>
    <row r="20" spans="1:5" x14ac:dyDescent="0.25">
      <c r="A20" s="73" t="s">
        <v>82</v>
      </c>
      <c r="B20" s="74">
        <v>11.5</v>
      </c>
      <c r="C20" s="75">
        <v>1282</v>
      </c>
      <c r="D20" s="76">
        <v>21.65</v>
      </c>
      <c r="E20" s="77">
        <f>+niveau!Y9</f>
        <v>0.1225746559665533</v>
      </c>
    </row>
    <row r="21" spans="1:5" x14ac:dyDescent="0.25">
      <c r="A21" s="73" t="s">
        <v>83</v>
      </c>
      <c r="B21" s="74">
        <v>19.7</v>
      </c>
      <c r="C21" s="75">
        <v>941</v>
      </c>
      <c r="D21" s="76">
        <v>27.09</v>
      </c>
      <c r="E21" s="77">
        <f>+niveau!Y10</f>
        <v>0.16134400684996211</v>
      </c>
    </row>
    <row r="22" spans="1:5" x14ac:dyDescent="0.25">
      <c r="A22" s="73" t="s">
        <v>84</v>
      </c>
      <c r="B22" s="74">
        <v>8</v>
      </c>
      <c r="C22" s="75">
        <v>1061</v>
      </c>
      <c r="D22" s="76">
        <v>16.489999999999998</v>
      </c>
      <c r="E22" s="77">
        <f>+niveau!Y11</f>
        <v>0.11755527385676491</v>
      </c>
    </row>
    <row r="23" spans="1:5" x14ac:dyDescent="0.25">
      <c r="A23" s="73" t="s">
        <v>85</v>
      </c>
      <c r="B23" s="74">
        <v>19.600000000000001</v>
      </c>
      <c r="C23" s="75">
        <v>1084</v>
      </c>
      <c r="D23" s="76">
        <v>28</v>
      </c>
      <c r="E23" s="77">
        <f>+niveau!Y12</f>
        <v>0.21750547042705975</v>
      </c>
    </row>
    <row r="24" spans="1:5" x14ac:dyDescent="0.25">
      <c r="A24" s="73" t="s">
        <v>86</v>
      </c>
      <c r="B24" s="74">
        <v>18.5</v>
      </c>
      <c r="C24" s="75">
        <v>841</v>
      </c>
      <c r="D24" s="76">
        <v>24.51</v>
      </c>
      <c r="E24" s="77">
        <f>+niveau!Y13</f>
        <v>0.18017279602465974</v>
      </c>
    </row>
    <row r="25" spans="1:5" x14ac:dyDescent="0.25">
      <c r="A25" s="73" t="s">
        <v>87</v>
      </c>
      <c r="B25" s="74">
        <v>6.8</v>
      </c>
      <c r="C25" s="75">
        <v>377</v>
      </c>
      <c r="D25" s="76">
        <v>9.59</v>
      </c>
      <c r="E25" s="77">
        <f>+niveau!Y14</f>
        <v>6.4788964781746131E-2</v>
      </c>
    </row>
    <row r="26" spans="1:5" x14ac:dyDescent="0.25">
      <c r="A26" s="73" t="s">
        <v>88</v>
      </c>
      <c r="B26" s="74">
        <v>13.5</v>
      </c>
      <c r="C26" s="75">
        <v>857</v>
      </c>
      <c r="D26" s="76">
        <v>19.93</v>
      </c>
      <c r="E26" s="77">
        <f>+niveau!Y15</f>
        <v>0.16024891046626996</v>
      </c>
    </row>
    <row r="27" spans="1:5" x14ac:dyDescent="0.25">
      <c r="A27" s="78"/>
      <c r="B27" s="78"/>
      <c r="C27" s="78"/>
      <c r="D27" s="78"/>
      <c r="E27" s="78"/>
    </row>
    <row r="28" spans="1:5" x14ac:dyDescent="0.25">
      <c r="B28" s="65">
        <f>SUM(B17:B27)</f>
        <v>163.5</v>
      </c>
      <c r="C28" s="66">
        <f t="shared" ref="C28:D28" si="0">SUM(C17:C27)</f>
        <v>9917</v>
      </c>
      <c r="D28" s="65">
        <f t="shared" si="0"/>
        <v>238.08</v>
      </c>
      <c r="E28" s="67">
        <f>SUM(E17:E26)</f>
        <v>1.4436069841978458</v>
      </c>
    </row>
  </sheetData>
  <protectedRanges>
    <protectedRange sqref="B3:B9" name="Pla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</vt:lpstr>
      <vt:lpstr>niveau</vt:lpstr>
      <vt:lpstr>roadbook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SULLY</dc:creator>
  <cp:lastModifiedBy>SULLY</cp:lastModifiedBy>
  <cp:lastPrinted>2013-09-27T14:33:18Z</cp:lastPrinted>
  <dcterms:created xsi:type="dcterms:W3CDTF">2013-09-23T14:06:40Z</dcterms:created>
  <dcterms:modified xsi:type="dcterms:W3CDTF">2013-10-04T15:07:01Z</dcterms:modified>
</cp:coreProperties>
</file>